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45" windowHeight="8700" activeTab="0"/>
  </bookViews>
  <sheets>
    <sheet name="World Cup 2006" sheetId="1" r:id="rId1"/>
  </sheets>
  <definedNames>
    <definedName name="_xlnm.Print_Area" localSheetId="0">'World Cup 2006'!$A$1:$AA$80</definedName>
  </definedNames>
  <calcPr fullCalcOnLoad="1"/>
</workbook>
</file>

<file path=xl/sharedStrings.xml><?xml version="1.0" encoding="utf-8"?>
<sst xmlns="http://schemas.openxmlformats.org/spreadsheetml/2006/main" count="307" uniqueCount="112">
  <si>
    <t>Group B</t>
  </si>
  <si>
    <t>W</t>
  </si>
  <si>
    <t>D</t>
  </si>
  <si>
    <t>L</t>
  </si>
  <si>
    <t>F - A</t>
  </si>
  <si>
    <t>Pnt</t>
  </si>
  <si>
    <t>Place</t>
  </si>
  <si>
    <t>Win</t>
  </si>
  <si>
    <t>Draw</t>
  </si>
  <si>
    <t>Lose</t>
  </si>
  <si>
    <t>F</t>
  </si>
  <si>
    <t>A</t>
  </si>
  <si>
    <t>Germany</t>
  </si>
  <si>
    <t>World Champion 2006</t>
  </si>
  <si>
    <t>Group A</t>
  </si>
  <si>
    <t>Group C</t>
  </si>
  <si>
    <t>Group D</t>
  </si>
  <si>
    <t>Group E</t>
  </si>
  <si>
    <t>Group F</t>
  </si>
  <si>
    <t>Group G</t>
  </si>
  <si>
    <t>Group H</t>
  </si>
  <si>
    <t>Costa Rica</t>
  </si>
  <si>
    <t>Poland</t>
  </si>
  <si>
    <t>Ecuador</t>
  </si>
  <si>
    <t>England</t>
  </si>
  <si>
    <t>Paraguay</t>
  </si>
  <si>
    <t>Trinidad &amp; Tobago</t>
  </si>
  <si>
    <t>Sweden</t>
  </si>
  <si>
    <t>Argentina</t>
  </si>
  <si>
    <t>Serbia &amp; Montenegro</t>
  </si>
  <si>
    <t>Netherlands</t>
  </si>
  <si>
    <t>Mexico</t>
  </si>
  <si>
    <t>Iran</t>
  </si>
  <si>
    <t>Angola</t>
  </si>
  <si>
    <t>Portugal</t>
  </si>
  <si>
    <t>Italy</t>
  </si>
  <si>
    <t>Ghana</t>
  </si>
  <si>
    <t>USA</t>
  </si>
  <si>
    <t>Czech Republic</t>
  </si>
  <si>
    <t>Brazil</t>
  </si>
  <si>
    <t>Croatia</t>
  </si>
  <si>
    <t>Australia</t>
  </si>
  <si>
    <t>Japan</t>
  </si>
  <si>
    <t>France</t>
  </si>
  <si>
    <t>Switzerland</t>
  </si>
  <si>
    <t>Togo</t>
  </si>
  <si>
    <t>Spain</t>
  </si>
  <si>
    <t>Ukraine</t>
  </si>
  <si>
    <t>Tunisia</t>
  </si>
  <si>
    <t>Saudi Arabia</t>
  </si>
  <si>
    <t>R</t>
  </si>
  <si>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</si>
  <si>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</si>
  <si>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</si>
  <si>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</si>
  <si>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</si>
  <si>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</si>
  <si>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</si>
  <si>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</si>
  <si>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</si>
  <si>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</si>
  <si>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</si>
  <si>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</si>
  <si>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</si>
  <si>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</si>
  <si>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</si>
  <si>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</si>
  <si>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</si>
  <si>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</si>
  <si>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</si>
  <si>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30 Jun</t>
  </si>
  <si>
    <t>1 Jul</t>
  </si>
  <si>
    <t>4 Jul</t>
  </si>
  <si>
    <t>5 Jul</t>
  </si>
  <si>
    <t>8 Jul</t>
  </si>
  <si>
    <t>9 Jul</t>
  </si>
  <si>
    <t>Date</t>
  </si>
  <si>
    <t>Time</t>
  </si>
  <si>
    <t>Group</t>
  </si>
  <si>
    <t>B</t>
  </si>
  <si>
    <t>C</t>
  </si>
  <si>
    <t>E</t>
  </si>
  <si>
    <t>G</t>
  </si>
  <si>
    <t>H</t>
  </si>
  <si>
    <t>QF1</t>
  </si>
  <si>
    <t>QF2</t>
  </si>
  <si>
    <t>QF3</t>
  </si>
  <si>
    <t>QF4</t>
  </si>
  <si>
    <t>R2</t>
  </si>
  <si>
    <t>SF1</t>
  </si>
  <si>
    <t>FIN</t>
  </si>
  <si>
    <t>Venue</t>
  </si>
  <si>
    <t>Teams</t>
  </si>
  <si>
    <t>Score</t>
  </si>
  <si>
    <t>Munich</t>
  </si>
  <si>
    <t>Gelsenkirchen</t>
  </si>
  <si>
    <t>Frankfurt</t>
  </si>
  <si>
    <t>Dortmund</t>
  </si>
  <si>
    <t>Hamburg</t>
  </si>
  <si>
    <t>Leipzig</t>
  </si>
  <si>
    <t>Nuremberg</t>
  </si>
  <si>
    <t>Cologne</t>
  </si>
  <si>
    <t>Hanover</t>
  </si>
  <si>
    <t>Berlin</t>
  </si>
  <si>
    <t>Kaiserslautern</t>
  </si>
  <si>
    <t>Stuttgart</t>
  </si>
  <si>
    <t>3rd</t>
  </si>
  <si>
    <t>Côte d'Ivoire</t>
  </si>
  <si>
    <t>Korea Republic</t>
  </si>
  <si>
    <t>World Cup 2006</t>
  </si>
  <si>
    <t xml:space="preserve"> Final tournament schedule</t>
  </si>
  <si>
    <t>adidas.com/football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</si>
</sst>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* #,##0_-;\-* #,##0_-;_-* &quot;-&quot;_-;_-@_-"/>
    <numFmt numFmtId="186" formatCode="_-&quot;£ &quot;* #,##0.00_-;\-&quot;£ &quot;* #,##0.00_-;_-&quot;£ 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19]d\ mmm;@"/>
    <numFmt numFmtId="197" formatCode="h:mm;@"/>
    <numFmt numFmtId="198" formatCode="[$-409]d\-mmm;@"/>
  </numFmts>
  <fonts count="21"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9"/>
      <name val="Tahoma"/>
      <family val="2"/>
    </font>
    <font>
      <b/>
      <sz val="8"/>
      <color indexed="9"/>
      <name val="Helvetica 65 Medium"/>
      <family val="2"/>
    </font>
    <font>
      <sz val="9"/>
      <color indexed="9"/>
      <name val="Helvetica 65 Medium"/>
      <family val="2"/>
    </font>
    <font>
      <sz val="8"/>
      <color indexed="9"/>
      <name val="Helvetica 65 Medium"/>
      <family val="2"/>
    </font>
    <font>
      <sz val="10"/>
      <name val="Helvetica 65 Medium"/>
      <family val="2"/>
    </font>
    <font>
      <sz val="9"/>
      <name val="Helvetica 65 Medium"/>
      <family val="2"/>
    </font>
    <font>
      <b/>
      <sz val="12"/>
      <name val="Helvetica 65 Medium"/>
      <family val="2"/>
    </font>
    <font>
      <sz val="18"/>
      <color indexed="10"/>
      <name val="Helvetica 45 Light"/>
      <family val="2"/>
    </font>
    <font>
      <sz val="36"/>
      <color indexed="9"/>
      <name val="Helvetica 45 Light"/>
      <family val="2"/>
    </font>
    <font>
      <sz val="10"/>
      <color indexed="9"/>
      <name val="Tahoma"/>
      <family val="2"/>
    </font>
    <font>
      <sz val="10"/>
      <color indexed="9"/>
      <name val="Helvetica 65 Medium"/>
      <family val="2"/>
    </font>
    <font>
      <sz val="14"/>
      <color indexed="9"/>
      <name val="Helvetica 65 Medium"/>
      <family val="2"/>
    </font>
    <font>
      <b/>
      <sz val="12"/>
      <color indexed="9"/>
      <name val="Helvetica 65 Medium"/>
      <family val="2"/>
    </font>
    <font>
      <b/>
      <sz val="13"/>
      <color indexed="9"/>
      <name val="Helvetica 65 Medium"/>
      <family val="2"/>
    </font>
    <font>
      <b/>
      <sz val="12"/>
      <color indexed="8"/>
      <name val="Helvetica 65 Medium"/>
      <family val="2"/>
    </font>
    <font>
      <sz val="8"/>
      <color indexed="8"/>
      <name val="Helvetica 65 Medium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97" fontId="1" fillId="0" borderId="0" xfId="0" applyNumberFormat="1" applyFont="1" applyAlignment="1" applyProtection="1">
      <alignment vertical="center"/>
      <protection hidden="1"/>
    </xf>
    <xf numFmtId="196" fontId="1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96" fontId="6" fillId="2" borderId="1" xfId="0" applyNumberFormat="1" applyFont="1" applyFill="1" applyBorder="1" applyAlignment="1" applyProtection="1">
      <alignment vertical="center"/>
      <protection hidden="1"/>
    </xf>
    <xf numFmtId="196" fontId="6" fillId="2" borderId="2" xfId="0" applyNumberFormat="1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98" fontId="1" fillId="3" borderId="0" xfId="0" applyNumberFormat="1" applyFont="1" applyFill="1" applyAlignment="1" applyProtection="1">
      <alignment horizontal="right" vertical="center"/>
      <protection hidden="1"/>
    </xf>
    <xf numFmtId="197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9" fillId="3" borderId="0" xfId="15" applyFont="1" applyFill="1" applyBorder="1" applyAlignment="1" applyProtection="1">
      <alignment vertical="center" wrapText="1"/>
      <protection hidden="1"/>
    </xf>
    <xf numFmtId="0" fontId="10" fillId="3" borderId="0" xfId="15" applyFont="1" applyFill="1" applyBorder="1" applyAlignment="1" applyProtection="1">
      <alignment horizontal="center" vertical="center" wrapText="1"/>
      <protection hidden="1"/>
    </xf>
    <xf numFmtId="0" fontId="5" fillId="3" borderId="0" xfId="15" applyFont="1" applyFill="1" applyBorder="1" applyAlignment="1" applyProtection="1">
      <alignment horizontal="center" vertical="center" wrapText="1"/>
      <protection hidden="1"/>
    </xf>
    <xf numFmtId="196" fontId="11" fillId="3" borderId="0" xfId="0" applyNumberFormat="1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198" fontId="8" fillId="3" borderId="6" xfId="0" applyNumberFormat="1" applyFont="1" applyFill="1" applyBorder="1" applyAlignment="1" applyProtection="1">
      <alignment horizontal="right" vertical="center"/>
      <protection hidden="1"/>
    </xf>
    <xf numFmtId="197" fontId="8" fillId="3" borderId="6" xfId="0" applyNumberFormat="1" applyFont="1" applyFill="1" applyBorder="1" applyAlignment="1" applyProtection="1">
      <alignment horizontal="center" vertical="center"/>
      <protection hidden="1"/>
    </xf>
    <xf numFmtId="197" fontId="8" fillId="3" borderId="6" xfId="0" applyNumberFormat="1" applyFont="1" applyFill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left" vertical="center"/>
      <protection hidden="1"/>
    </xf>
    <xf numFmtId="198" fontId="8" fillId="3" borderId="7" xfId="0" applyNumberFormat="1" applyFont="1" applyFill="1" applyBorder="1" applyAlignment="1" applyProtection="1">
      <alignment horizontal="right" vertical="center"/>
      <protection hidden="1"/>
    </xf>
    <xf numFmtId="197" fontId="8" fillId="3" borderId="7" xfId="0" applyNumberFormat="1" applyFont="1" applyFill="1" applyBorder="1" applyAlignment="1" applyProtection="1">
      <alignment horizontal="center" vertical="center"/>
      <protection hidden="1"/>
    </xf>
    <xf numFmtId="197" fontId="8" fillId="3" borderId="7" xfId="0" applyNumberFormat="1" applyFont="1" applyFill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196" fontId="6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196" fontId="8" fillId="3" borderId="0" xfId="0" applyNumberFormat="1" applyFont="1" applyFill="1" applyAlignment="1" applyProtection="1">
      <alignment horizontal="right" vertical="center"/>
      <protection hidden="1"/>
    </xf>
    <xf numFmtId="197" fontId="8" fillId="3" borderId="0" xfId="0" applyNumberFormat="1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6" fillId="3" borderId="6" xfId="0" applyFont="1" applyFill="1" applyBorder="1" applyAlignment="1" applyProtection="1">
      <alignment horizontal="right" vertical="center"/>
      <protection hidden="1"/>
    </xf>
    <xf numFmtId="0" fontId="6" fillId="3" borderId="7" xfId="0" applyFont="1" applyFill="1" applyBorder="1" applyAlignment="1" applyProtection="1">
      <alignment horizontal="right" vertical="center"/>
      <protection hidden="1"/>
    </xf>
    <xf numFmtId="198" fontId="15" fillId="3" borderId="0" xfId="0" applyNumberFormat="1" applyFont="1" applyFill="1" applyAlignment="1" applyProtection="1">
      <alignment horizontal="right" vertical="center"/>
      <protection hidden="1"/>
    </xf>
    <xf numFmtId="197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196" fontId="15" fillId="3" borderId="0" xfId="0" applyNumberFormat="1" applyFont="1" applyFill="1" applyBorder="1" applyAlignment="1" applyProtection="1">
      <alignment horizontal="right" vertical="center"/>
      <protection hidden="1"/>
    </xf>
    <xf numFmtId="197" fontId="15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196" fontId="16" fillId="3" borderId="0" xfId="0" applyNumberFormat="1" applyFont="1" applyFill="1" applyBorder="1" applyAlignment="1" applyProtection="1">
      <alignment horizontal="left" vertical="center"/>
      <protection hidden="1"/>
    </xf>
    <xf numFmtId="196" fontId="17" fillId="3" borderId="0" xfId="0" applyNumberFormat="1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196" fontId="14" fillId="3" borderId="0" xfId="0" applyNumberFormat="1" applyFont="1" applyFill="1" applyAlignment="1" applyProtection="1">
      <alignment horizontal="right" vertical="center"/>
      <protection hidden="1"/>
    </xf>
    <xf numFmtId="197" fontId="14" fillId="3" borderId="0" xfId="0" applyNumberFormat="1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right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196" fontId="13" fillId="3" borderId="0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196" fontId="6" fillId="2" borderId="2" xfId="0" applyNumberFormat="1" applyFont="1" applyFill="1" applyBorder="1" applyAlignment="1" applyProtection="1">
      <alignment horizontal="center" vertical="center"/>
      <protection hidden="1"/>
    </xf>
    <xf numFmtId="196" fontId="6" fillId="2" borderId="13" xfId="0" applyNumberFormat="1" applyFont="1" applyFill="1" applyBorder="1" applyAlignment="1" applyProtection="1">
      <alignment horizontal="center" vertical="center"/>
      <protection hidden="1"/>
    </xf>
    <xf numFmtId="0" fontId="12" fillId="3" borderId="0" xfId="15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b/>
        <i val="0"/>
        <color rgb="FFE60000"/>
      </font>
      <border/>
    </dxf>
    <dxf>
      <font>
        <b/>
        <i val="0"/>
        <color rgb="FF0000FF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color rgb="FFE60000"/>
      </font>
      <border/>
    </dxf>
    <dxf>
      <font>
        <b/>
        <i val="0"/>
        <color rgb="FFE60000"/>
      </font>
      <fill>
        <patternFill>
          <bgColor rgb="FF000000"/>
        </patternFill>
      </fill>
      <border/>
    </dxf>
    <dxf>
      <font>
        <b/>
        <i val="0"/>
        <color rgb="FFE60000"/>
      </font>
      <fill>
        <patternFill patternType="solid"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0000"/>
      <rgbColor rgb="0000FF00"/>
      <rgbColor rgb="000000FF"/>
      <rgbColor rgb="00FFFF00"/>
      <rgbColor rgb="00FF00FF"/>
      <rgbColor rgb="0000FFFF"/>
      <rgbColor rgb="00FF6600"/>
      <rgbColor rgb="00999999"/>
      <rgbColor rgb="00000080"/>
      <rgbColor rgb="00E7E7E7"/>
      <rgbColor rgb="00800080"/>
      <rgbColor rgb="00CCCCCC"/>
      <rgbColor rgb="00C0C0C0"/>
      <rgbColor rgb="00808080"/>
      <rgbColor rgb="00FF6600"/>
      <rgbColor rgb="00947744"/>
      <rgbColor rgb="00F1E1A1"/>
      <rgbColor rgb="00F7EFCB"/>
      <rgbColor rgb="00FAF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47744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56</xdr:row>
      <xdr:rowOff>28575</xdr:rowOff>
    </xdr:from>
    <xdr:to>
      <xdr:col>38</xdr:col>
      <xdr:colOff>457200</xdr:colOff>
      <xdr:row>76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9353550"/>
          <a:ext cx="38766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3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0</xdr:row>
      <xdr:rowOff>152400</xdr:rowOff>
    </xdr:from>
    <xdr:to>
      <xdr:col>26</xdr:col>
      <xdr:colOff>0</xdr:colOff>
      <xdr:row>2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rcRect r="16128"/>
        <a:stretch>
          <a:fillRect/>
        </a:stretch>
      </xdr:blipFill>
      <xdr:spPr>
        <a:xfrm>
          <a:off x="8410575" y="1524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85"/>
  <sheetViews>
    <sheetView showGridLines="0" tabSelected="1" workbookViewId="0" topLeftCell="A58">
      <selection activeCell="H6" sqref="H6"/>
    </sheetView>
  </sheetViews>
  <sheetFormatPr defaultColWidth="11.421875" defaultRowHeight="12"/>
  <cols>
    <col min="1" max="1" width="3.28125" style="1" customWidth="1"/>
    <col min="2" max="2" width="7.8515625" style="6" customWidth="1"/>
    <col min="3" max="3" width="7.8515625" style="5" customWidth="1"/>
    <col min="4" max="4" width="14.421875" style="5" bestFit="1" customWidth="1"/>
    <col min="5" max="5" width="7.8515625" style="5" customWidth="1"/>
    <col min="6" max="7" width="22.8515625" style="4" customWidth="1"/>
    <col min="8" max="9" width="4.00390625" style="3" customWidth="1"/>
    <col min="10" max="10" width="2.7109375" style="1" customWidth="1"/>
    <col min="11" max="11" width="24.7109375" style="1" hidden="1" customWidth="1"/>
    <col min="12" max="12" width="2.7109375" style="1" hidden="1" customWidth="1"/>
    <col min="13" max="13" width="19.140625" style="1" hidden="1" customWidth="1"/>
    <col min="14" max="14" width="2.7109375" style="1" hidden="1" customWidth="1"/>
    <col min="15" max="15" width="24.7109375" style="1" hidden="1" customWidth="1"/>
    <col min="16" max="16" width="2.7109375" style="1" hidden="1" customWidth="1"/>
    <col min="17" max="17" width="19.140625" style="1" hidden="1" customWidth="1"/>
    <col min="18" max="18" width="2.7109375" style="1" hidden="1" customWidth="1"/>
    <col min="19" max="20" width="15.7109375" style="1" hidden="1" customWidth="1"/>
    <col min="21" max="21" width="20.8515625" style="1" customWidth="1"/>
    <col min="22" max="26" width="5.8515625" style="3" customWidth="1"/>
    <col min="27" max="27" width="3.28125" style="1" customWidth="1"/>
    <col min="28" max="28" width="7.28125" style="2" hidden="1" customWidth="1"/>
    <col min="29" max="29" width="15.28125" style="1" hidden="1" customWidth="1"/>
    <col min="30" max="35" width="7.8515625" style="3" hidden="1" customWidth="1"/>
    <col min="36" max="36" width="14.7109375" style="3" hidden="1" customWidth="1"/>
    <col min="37" max="37" width="2.7109375" style="1" hidden="1" customWidth="1"/>
    <col min="38" max="38" width="9.28125" style="1" hidden="1" customWidth="1"/>
    <col min="39" max="16384" width="9.28125" style="1" customWidth="1"/>
  </cols>
  <sheetData>
    <row r="1" spans="1:27" ht="30.75" customHeight="1">
      <c r="A1" s="15"/>
      <c r="B1" s="72" t="s">
        <v>109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15"/>
    </row>
    <row r="2" spans="1:27" ht="23.25" customHeight="1">
      <c r="A2" s="15"/>
      <c r="B2" s="78" t="s">
        <v>110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15"/>
    </row>
    <row r="3" spans="1:37" ht="9" customHeight="1">
      <c r="A3" s="15"/>
      <c r="B3" s="16"/>
      <c r="C3" s="17"/>
      <c r="D3" s="17"/>
      <c r="E3" s="17"/>
      <c r="F3" s="18"/>
      <c r="G3" s="18"/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0"/>
      <c r="V3" s="20"/>
      <c r="W3" s="20"/>
      <c r="X3" s="21"/>
      <c r="Y3" s="21"/>
      <c r="Z3" s="21"/>
      <c r="AA3" s="22"/>
      <c r="AB3" s="1"/>
      <c r="AC3" s="2"/>
      <c r="AD3" s="1"/>
      <c r="AK3" s="3"/>
    </row>
    <row r="4" spans="1:37" ht="9" customHeight="1">
      <c r="A4" s="15"/>
      <c r="B4" s="23"/>
      <c r="C4" s="23"/>
      <c r="D4" s="23"/>
      <c r="E4" s="23"/>
      <c r="F4" s="23"/>
      <c r="G4" s="23"/>
      <c r="H4" s="23"/>
      <c r="I4" s="23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0"/>
      <c r="V4" s="20"/>
      <c r="W4" s="20"/>
      <c r="X4" s="21"/>
      <c r="Y4" s="21"/>
      <c r="Z4" s="21"/>
      <c r="AA4" s="24"/>
      <c r="AB4" s="1"/>
      <c r="AC4" s="2"/>
      <c r="AD4" s="1"/>
      <c r="AK4" s="3"/>
    </row>
    <row r="5" spans="1:27" ht="11.25" customHeight="1">
      <c r="A5" s="34"/>
      <c r="B5" s="9" t="s">
        <v>76</v>
      </c>
      <c r="C5" s="10" t="s">
        <v>77</v>
      </c>
      <c r="D5" s="10" t="s">
        <v>91</v>
      </c>
      <c r="E5" s="10" t="s">
        <v>78</v>
      </c>
      <c r="F5" s="10" t="s">
        <v>92</v>
      </c>
      <c r="G5" s="10"/>
      <c r="H5" s="76" t="s">
        <v>93</v>
      </c>
      <c r="I5" s="7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6"/>
      <c r="W5" s="37"/>
      <c r="X5" s="37"/>
      <c r="Y5" s="37"/>
      <c r="Z5" s="37"/>
      <c r="AA5" s="35"/>
    </row>
    <row r="6" spans="1:36" ht="13.5" customHeight="1">
      <c r="A6" s="34"/>
      <c r="B6" s="26" t="s">
        <v>51</v>
      </c>
      <c r="C6" s="27">
        <v>0.75</v>
      </c>
      <c r="D6" s="28" t="s">
        <v>94</v>
      </c>
      <c r="E6" s="27" t="s">
        <v>11</v>
      </c>
      <c r="F6" s="29" t="str">
        <f>AC7</f>
        <v>Germany</v>
      </c>
      <c r="G6" s="29" t="str">
        <f>AC8</f>
        <v>Costa Rica</v>
      </c>
      <c r="H6" s="70">
        <v>4</v>
      </c>
      <c r="I6" s="70">
        <v>2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" t="s">
        <v>14</v>
      </c>
      <c r="V6" s="68"/>
      <c r="W6" s="68"/>
      <c r="X6" s="68"/>
      <c r="Y6" s="68"/>
      <c r="Z6" s="69"/>
      <c r="AA6" s="35"/>
      <c r="AB6" s="2" t="s">
        <v>6</v>
      </c>
      <c r="AC6" s="2"/>
      <c r="AD6" s="2" t="s">
        <v>7</v>
      </c>
      <c r="AE6" s="2" t="s">
        <v>8</v>
      </c>
      <c r="AF6" s="2" t="s">
        <v>9</v>
      </c>
      <c r="AG6" s="2" t="s">
        <v>10</v>
      </c>
      <c r="AH6" s="2" t="s">
        <v>11</v>
      </c>
      <c r="AI6" s="2" t="s">
        <v>5</v>
      </c>
      <c r="AJ6" s="2" t="s">
        <v>50</v>
      </c>
    </row>
    <row r="7" spans="1:38" ht="12.75">
      <c r="A7" s="34"/>
      <c r="B7" s="30" t="s">
        <v>51</v>
      </c>
      <c r="C7" s="31">
        <v>0.875</v>
      </c>
      <c r="D7" s="32" t="s">
        <v>95</v>
      </c>
      <c r="E7" s="31" t="s">
        <v>11</v>
      </c>
      <c r="F7" s="29" t="str">
        <f>AC9</f>
        <v>Poland</v>
      </c>
      <c r="G7" s="33" t="str">
        <f>AC10</f>
        <v>Ecuador</v>
      </c>
      <c r="H7" s="71">
        <v>0</v>
      </c>
      <c r="I7" s="71">
        <v>2</v>
      </c>
      <c r="J7" s="38"/>
      <c r="K7" s="38" t="str">
        <f aca="true" t="shared" si="0" ref="K7:K16">F6</f>
        <v>Germany</v>
      </c>
      <c r="L7" s="38">
        <f>H6</f>
        <v>4</v>
      </c>
      <c r="M7" s="38" t="str">
        <f>F6</f>
        <v>Germany</v>
      </c>
      <c r="N7" s="38">
        <f aca="true" t="shared" si="1" ref="N7:N16">I6</f>
        <v>2</v>
      </c>
      <c r="O7" s="38" t="str">
        <f aca="true" t="shared" si="2" ref="O7:O16">G6</f>
        <v>Costa Rica</v>
      </c>
      <c r="P7" s="38">
        <f aca="true" t="shared" si="3" ref="P7:P16">I6</f>
        <v>2</v>
      </c>
      <c r="Q7" s="38" t="str">
        <f>G6</f>
        <v>Costa Rica</v>
      </c>
      <c r="R7" s="38">
        <f>H6</f>
        <v>4</v>
      </c>
      <c r="S7" s="38" t="str">
        <f aca="true" t="shared" si="4" ref="S7:S16">IF(H6="","",IF(I6="","",IF(H6&gt;I6,CONCATENATE(F6,"_win"),IF(H6&lt;I6,CONCATENATE(F6,"_lose"),CONCATENATE(F6,"_draw")))))</f>
        <v>Germany_win</v>
      </c>
      <c r="T7" s="38" t="str">
        <f aca="true" t="shared" si="5" ref="T7:T16">IF(H6="","",IF(I6="","",IF(H6&gt;I6,CONCATENATE(G6,"_lose"),IF(H6&lt;I6,CONCATENATE(G6,"_win"),CONCATENATE(G6,"_draw")))))</f>
        <v>Costa Rica_lose</v>
      </c>
      <c r="U7" s="39"/>
      <c r="V7" s="40" t="s">
        <v>1</v>
      </c>
      <c r="W7" s="40" t="s">
        <v>2</v>
      </c>
      <c r="X7" s="40" t="s">
        <v>3</v>
      </c>
      <c r="Y7" s="40" t="s">
        <v>4</v>
      </c>
      <c r="Z7" s="41" t="s">
        <v>5</v>
      </c>
      <c r="AA7" s="35"/>
      <c r="AB7" s="2">
        <f>IF(AJ7&gt;AJ7,1,0)+IF(AJ7&gt;AJ8,1,0)+IF(AJ7&gt;AJ9,1,0)+IF(AJ7&gt;AJ10,1,0)+1</f>
        <v>4</v>
      </c>
      <c r="AC7" s="1" t="s">
        <v>12</v>
      </c>
      <c r="AD7" s="3">
        <f>COUNTIF($S$7:$T$54,CONCATENATE(AC7,"_win"))</f>
        <v>3</v>
      </c>
      <c r="AE7" s="3">
        <f>COUNTIF($S$7:$T$54,CONCATENATE(AC7,"_draw"))</f>
        <v>0</v>
      </c>
      <c r="AF7" s="3">
        <f>COUNTIF($S$7:$T$54,CONCATENATE(AC7,"_lose"))</f>
        <v>0</v>
      </c>
      <c r="AG7" s="3">
        <f>SUMIF($O$7:$O$54,CONCATENATE("=",AC7),$P$7:$P$54)+SUMIF($K$7:$K$54,CONCATENATE("=",AC7),$L$7:$L$54)</f>
        <v>8</v>
      </c>
      <c r="AH7" s="3">
        <f>SUMIF($Q$7:$Q$54,CONCATENATE("=",AC7),$R$7:$R$54)+SUMIF($M$7:$M$54,CONCATENATE("=",AC7),$N$7:$N$54)</f>
        <v>2</v>
      </c>
      <c r="AI7" s="3">
        <f>AD7*3+AE7</f>
        <v>9</v>
      </c>
      <c r="AJ7" s="3">
        <f>0.4+AG7+(AG7-AH7)*100+AD7*1000+AI7*10000</f>
        <v>93608.4</v>
      </c>
      <c r="AL7" s="1" t="str">
        <f>IF(SUM(AD7:AF10)=12,U8,"Group A Winner")</f>
        <v>Germany</v>
      </c>
    </row>
    <row r="8" spans="1:38" ht="12.75">
      <c r="A8" s="34"/>
      <c r="B8" s="30" t="s">
        <v>52</v>
      </c>
      <c r="C8" s="31">
        <v>0.625</v>
      </c>
      <c r="D8" s="32" t="s">
        <v>96</v>
      </c>
      <c r="E8" s="31" t="s">
        <v>79</v>
      </c>
      <c r="F8" s="29" t="str">
        <f>AC14</f>
        <v>England</v>
      </c>
      <c r="G8" s="33" t="str">
        <f>AC15</f>
        <v>Paraguay</v>
      </c>
      <c r="H8" s="71">
        <v>1</v>
      </c>
      <c r="I8" s="71">
        <v>0</v>
      </c>
      <c r="J8" s="38"/>
      <c r="K8" s="38" t="str">
        <f t="shared" si="0"/>
        <v>Poland</v>
      </c>
      <c r="L8" s="38">
        <f aca="true" t="shared" si="6" ref="L8:L16">H7</f>
        <v>0</v>
      </c>
      <c r="M8" s="38" t="str">
        <f aca="true" t="shared" si="7" ref="M8:M16">F7</f>
        <v>Poland</v>
      </c>
      <c r="N8" s="38">
        <f t="shared" si="1"/>
        <v>2</v>
      </c>
      <c r="O8" s="38" t="str">
        <f t="shared" si="2"/>
        <v>Ecuador</v>
      </c>
      <c r="P8" s="38">
        <f t="shared" si="3"/>
        <v>2</v>
      </c>
      <c r="Q8" s="38" t="str">
        <f aca="true" t="shared" si="8" ref="Q8:Q16">G7</f>
        <v>Ecuador</v>
      </c>
      <c r="R8" s="38">
        <f aca="true" t="shared" si="9" ref="R8:R16">H7</f>
        <v>0</v>
      </c>
      <c r="S8" s="38" t="str">
        <f t="shared" si="4"/>
        <v>Poland_lose</v>
      </c>
      <c r="T8" s="38" t="str">
        <f t="shared" si="5"/>
        <v>Ecuador_win</v>
      </c>
      <c r="U8" s="39" t="str">
        <f>VLOOKUP(4,AB7:AI10,2,FALSE)</f>
        <v>Germany</v>
      </c>
      <c r="V8" s="37">
        <f>VLOOKUP(4,AB7:AI10,3,FALSE)</f>
        <v>3</v>
      </c>
      <c r="W8" s="37">
        <f>VLOOKUP(4,AB7:AI10,4,FALSE)</f>
        <v>0</v>
      </c>
      <c r="X8" s="37">
        <f>VLOOKUP(4,AB7:AI10,5,FALSE)</f>
        <v>0</v>
      </c>
      <c r="Y8" s="37" t="str">
        <f>CONCATENATE(VLOOKUP(4,AB7:AI10,6,FALSE)," - ",VLOOKUP(4,AB7:AI10,7,FALSE))</f>
        <v>8 - 2</v>
      </c>
      <c r="Z8" s="42">
        <f>VLOOKUP(4,AB7:AI10,8,FALSE)</f>
        <v>9</v>
      </c>
      <c r="AA8" s="35"/>
      <c r="AB8" s="2">
        <f>IF(AJ8&gt;AJ7,1,0)+IF(AJ8&gt;AJ8,1,0)+IF(AJ8&gt;AJ9,1,0)+IF(AJ8&gt;AJ10,1,0)+1</f>
        <v>1</v>
      </c>
      <c r="AC8" s="1" t="s">
        <v>21</v>
      </c>
      <c r="AD8" s="3">
        <f>COUNTIF($S$7:$T$54,CONCATENATE(AC8,"_win"))</f>
        <v>0</v>
      </c>
      <c r="AE8" s="3">
        <f>COUNTIF($S$7:$T$54,CONCATENATE(AC8,"_draw"))</f>
        <v>0</v>
      </c>
      <c r="AF8" s="3">
        <f>COUNTIF($S$7:$T$54,CONCATENATE(AC8,"_lose"))</f>
        <v>3</v>
      </c>
      <c r="AG8" s="3">
        <f>SUMIF($O$7:$O$54,CONCATENATE("=",AC8),$P$7:$P$54)+SUMIF($K$7:$K$54,CONCATENATE("=",AC8),$L$7:$L$54)</f>
        <v>3</v>
      </c>
      <c r="AH8" s="3">
        <f>SUMIF($Q$7:$Q$54,CONCATENATE("=",AC8),$R$7:$R$54)+SUMIF($M$7:$M$54,CONCATENATE("=",AC8),$N$7:$N$54)</f>
        <v>9</v>
      </c>
      <c r="AI8" s="3">
        <f>AD8*3+AE8</f>
        <v>0</v>
      </c>
      <c r="AJ8" s="3">
        <f>0.3+AG8+(AG8-AH8)*100+AD8*1000+AI8*10000</f>
        <v>-596.7</v>
      </c>
      <c r="AL8" s="1" t="str">
        <f>IF(SUM(AD7:AF10)=12,U9,"Group A Second place")</f>
        <v>Ecuador</v>
      </c>
    </row>
    <row r="9" spans="1:36" ht="12.75">
      <c r="A9" s="34"/>
      <c r="B9" s="30" t="s">
        <v>52</v>
      </c>
      <c r="C9" s="31">
        <v>0.75</v>
      </c>
      <c r="D9" s="32" t="s">
        <v>97</v>
      </c>
      <c r="E9" s="31" t="s">
        <v>79</v>
      </c>
      <c r="F9" s="29" t="str">
        <f>AC16</f>
        <v>Trinidad &amp; Tobago</v>
      </c>
      <c r="G9" s="33" t="str">
        <f>AC17</f>
        <v>Sweden</v>
      </c>
      <c r="H9" s="71">
        <v>0</v>
      </c>
      <c r="I9" s="71">
        <v>0</v>
      </c>
      <c r="J9" s="38"/>
      <c r="K9" s="38" t="str">
        <f t="shared" si="0"/>
        <v>England</v>
      </c>
      <c r="L9" s="38">
        <f t="shared" si="6"/>
        <v>1</v>
      </c>
      <c r="M9" s="38" t="str">
        <f t="shared" si="7"/>
        <v>England</v>
      </c>
      <c r="N9" s="38">
        <f t="shared" si="1"/>
        <v>0</v>
      </c>
      <c r="O9" s="38" t="str">
        <f t="shared" si="2"/>
        <v>Paraguay</v>
      </c>
      <c r="P9" s="38">
        <f t="shared" si="3"/>
        <v>0</v>
      </c>
      <c r="Q9" s="38" t="str">
        <f t="shared" si="8"/>
        <v>Paraguay</v>
      </c>
      <c r="R9" s="38">
        <f t="shared" si="9"/>
        <v>1</v>
      </c>
      <c r="S9" s="38" t="str">
        <f t="shared" si="4"/>
        <v>England_win</v>
      </c>
      <c r="T9" s="38" t="str">
        <f t="shared" si="5"/>
        <v>Paraguay_lose</v>
      </c>
      <c r="U9" s="39" t="str">
        <f>VLOOKUP(3,AB7:AI10,2,FALSE)</f>
        <v>Ecuador</v>
      </c>
      <c r="V9" s="37">
        <f>VLOOKUP(3,AB7:AI10,3,FALSE)</f>
        <v>2</v>
      </c>
      <c r="W9" s="37">
        <f>VLOOKUP(3,AB7:AI10,4,FALSE)</f>
        <v>0</v>
      </c>
      <c r="X9" s="37">
        <f>VLOOKUP(3,AB7:AI10,5,FALSE)</f>
        <v>1</v>
      </c>
      <c r="Y9" s="37" t="str">
        <f>CONCATENATE(VLOOKUP(3,AB7:AI10,6,FALSE)," - ",VLOOKUP(3,AB7:AI10,7,FALSE))</f>
        <v>5 - 3</v>
      </c>
      <c r="Z9" s="42">
        <f>VLOOKUP(3,AB7:AI10,8,FALSE)</f>
        <v>6</v>
      </c>
      <c r="AA9" s="35"/>
      <c r="AB9" s="2">
        <f>IF(AJ9&gt;AJ7,1,0)+IF(AJ9&gt;AJ8,1,0)+IF(AJ9&gt;AJ9,1,0)+IF(AJ9&gt;AJ10,1,0)+1</f>
        <v>2</v>
      </c>
      <c r="AC9" s="1" t="s">
        <v>22</v>
      </c>
      <c r="AD9" s="3">
        <f>COUNTIF($S$7:$T$54,CONCATENATE(AC9,"_win"))</f>
        <v>1</v>
      </c>
      <c r="AE9" s="3">
        <f>COUNTIF($S$7:$T$54,CONCATENATE(AC9,"_draw"))</f>
        <v>0</v>
      </c>
      <c r="AF9" s="3">
        <f>COUNTIF($S$7:$T$54,CONCATENATE(AC9,"_lose"))</f>
        <v>2</v>
      </c>
      <c r="AG9" s="3">
        <f>SUMIF($O$7:$O$54,CONCATENATE("=",AC9),$P$7:$P$54)+SUMIF($K$7:$K$54,CONCATENATE("=",AC9),$L$7:$L$54)</f>
        <v>2</v>
      </c>
      <c r="AH9" s="3">
        <f>SUMIF($Q$7:$Q$54,CONCATENATE("=",AC9),$R$7:$R$54)+SUMIF($M$7:$M$54,CONCATENATE("=",AC9),$N$7:$N$54)</f>
        <v>4</v>
      </c>
      <c r="AI9" s="3">
        <f>AD9*3+AE9</f>
        <v>3</v>
      </c>
      <c r="AJ9" s="3">
        <f>0.2+AG9+(AG9-AH9)*100+AD9*1000+AI9*10000</f>
        <v>30802.2</v>
      </c>
    </row>
    <row r="10" spans="1:36" ht="12.75">
      <c r="A10" s="34"/>
      <c r="B10" s="30" t="s">
        <v>52</v>
      </c>
      <c r="C10" s="31">
        <v>0.875</v>
      </c>
      <c r="D10" s="32" t="s">
        <v>98</v>
      </c>
      <c r="E10" s="31" t="s">
        <v>80</v>
      </c>
      <c r="F10" s="29" t="str">
        <f>AC21</f>
        <v>Argentina</v>
      </c>
      <c r="G10" s="33" t="str">
        <f>AC22</f>
        <v>Côte d'Ivoire</v>
      </c>
      <c r="H10" s="71">
        <v>2</v>
      </c>
      <c r="I10" s="71">
        <v>1</v>
      </c>
      <c r="J10" s="38"/>
      <c r="K10" s="38" t="str">
        <f t="shared" si="0"/>
        <v>Trinidad &amp; Tobago</v>
      </c>
      <c r="L10" s="38">
        <f t="shared" si="6"/>
        <v>0</v>
      </c>
      <c r="M10" s="38" t="str">
        <f t="shared" si="7"/>
        <v>Trinidad &amp; Tobago</v>
      </c>
      <c r="N10" s="38">
        <f t="shared" si="1"/>
        <v>0</v>
      </c>
      <c r="O10" s="38" t="str">
        <f t="shared" si="2"/>
        <v>Sweden</v>
      </c>
      <c r="P10" s="38">
        <f t="shared" si="3"/>
        <v>0</v>
      </c>
      <c r="Q10" s="38" t="str">
        <f t="shared" si="8"/>
        <v>Sweden</v>
      </c>
      <c r="R10" s="38">
        <f t="shared" si="9"/>
        <v>0</v>
      </c>
      <c r="S10" s="38" t="str">
        <f t="shared" si="4"/>
        <v>Trinidad &amp; Tobago_draw</v>
      </c>
      <c r="T10" s="38" t="str">
        <f t="shared" si="5"/>
        <v>Sweden_draw</v>
      </c>
      <c r="U10" s="39" t="str">
        <f>VLOOKUP(2,AB7:AI10,2,FALSE)</f>
        <v>Poland</v>
      </c>
      <c r="V10" s="37">
        <f>VLOOKUP(2,AB7:AI10,3,FALSE)</f>
        <v>1</v>
      </c>
      <c r="W10" s="37">
        <f>VLOOKUP(2,AB7:AI10,4,FALSE)</f>
        <v>0</v>
      </c>
      <c r="X10" s="37">
        <f>VLOOKUP(2,AB7:AI10,5,FALSE)</f>
        <v>2</v>
      </c>
      <c r="Y10" s="37" t="str">
        <f>CONCATENATE(VLOOKUP(2,AB7:AI10,6,FALSE)," - ",VLOOKUP(2,AB7:AI10,7,FALSE))</f>
        <v>2 - 4</v>
      </c>
      <c r="Z10" s="42">
        <f>VLOOKUP(2,AB7:AI10,8,FALSE)</f>
        <v>3</v>
      </c>
      <c r="AA10" s="35"/>
      <c r="AB10" s="2">
        <f>IF(AJ10&gt;AJ7,1,0)+IF(AJ10&gt;AJ8,1,0)+IF(AJ10&gt;AJ9,1,0)+IF(AJ10&gt;AJ10,1,0)+1</f>
        <v>3</v>
      </c>
      <c r="AC10" s="1" t="s">
        <v>23</v>
      </c>
      <c r="AD10" s="3">
        <f>COUNTIF($S$7:$T$54,CONCATENATE(AC10,"_win"))</f>
        <v>2</v>
      </c>
      <c r="AE10" s="3">
        <f>COUNTIF($S$7:$T$54,CONCATENATE(AC10,"_draw"))</f>
        <v>0</v>
      </c>
      <c r="AF10" s="3">
        <f>COUNTIF($S$7:$T$54,CONCATENATE(AC10,"_lose"))</f>
        <v>1</v>
      </c>
      <c r="AG10" s="3">
        <f>SUMIF($O$7:$O$54,CONCATENATE("=",AC10),$P$7:$P$54)+SUMIF($K$7:$K$54,CONCATENATE("=",AC10),$L$7:$L$54)</f>
        <v>5</v>
      </c>
      <c r="AH10" s="3">
        <f>SUMIF($Q$7:$Q$54,CONCATENATE("=",AC10),$R$7:$R$54)+SUMIF($M$7:$M$54,CONCATENATE("=",AC10),$N$7:$N$54)</f>
        <v>3</v>
      </c>
      <c r="AI10" s="3">
        <f>AD10*3+AE10</f>
        <v>6</v>
      </c>
      <c r="AJ10" s="3">
        <f>0.1+AG10+(AG10-AH10)*100+AD10*1000+AI10*10000</f>
        <v>62205.1</v>
      </c>
    </row>
    <row r="11" spans="1:27" ht="12.75">
      <c r="A11" s="34"/>
      <c r="B11" s="30" t="s">
        <v>53</v>
      </c>
      <c r="C11" s="31">
        <v>0.625</v>
      </c>
      <c r="D11" s="32" t="s">
        <v>99</v>
      </c>
      <c r="E11" s="31" t="s">
        <v>80</v>
      </c>
      <c r="F11" s="29" t="str">
        <f>AC23</f>
        <v>Serbia &amp; Montenegro</v>
      </c>
      <c r="G11" s="33" t="str">
        <f>AC24</f>
        <v>Netherlands</v>
      </c>
      <c r="H11" s="71">
        <v>0</v>
      </c>
      <c r="I11" s="71">
        <v>1</v>
      </c>
      <c r="J11" s="38"/>
      <c r="K11" s="38" t="str">
        <f t="shared" si="0"/>
        <v>Argentina</v>
      </c>
      <c r="L11" s="38">
        <f t="shared" si="6"/>
        <v>2</v>
      </c>
      <c r="M11" s="38" t="str">
        <f t="shared" si="7"/>
        <v>Argentina</v>
      </c>
      <c r="N11" s="38">
        <f t="shared" si="1"/>
        <v>1</v>
      </c>
      <c r="O11" s="38" t="str">
        <f t="shared" si="2"/>
        <v>Côte d'Ivoire</v>
      </c>
      <c r="P11" s="38">
        <f t="shared" si="3"/>
        <v>1</v>
      </c>
      <c r="Q11" s="38" t="str">
        <f t="shared" si="8"/>
        <v>Côte d'Ivoire</v>
      </c>
      <c r="R11" s="38">
        <f t="shared" si="9"/>
        <v>2</v>
      </c>
      <c r="S11" s="38" t="str">
        <f t="shared" si="4"/>
        <v>Argentina_win</v>
      </c>
      <c r="T11" s="38" t="str">
        <f t="shared" si="5"/>
        <v>Côte d'Ivoire_lose</v>
      </c>
      <c r="U11" s="43" t="str">
        <f>VLOOKUP(1,AB7:AI10,2,FALSE)</f>
        <v>Costa Rica</v>
      </c>
      <c r="V11" s="44">
        <f>VLOOKUP(1,AB7:AI10,3,FALSE)</f>
        <v>0</v>
      </c>
      <c r="W11" s="44">
        <f>VLOOKUP(1,AB7:AI10,4,FALSE)</f>
        <v>0</v>
      </c>
      <c r="X11" s="44">
        <f>VLOOKUP(1,AB7:AI10,5,FALSE)</f>
        <v>3</v>
      </c>
      <c r="Y11" s="44" t="str">
        <f>CONCATENATE(VLOOKUP(1,AB7:AI10,6,FALSE)," - ",VLOOKUP(1,AB7:AI10,7,FALSE))</f>
        <v>3 - 9</v>
      </c>
      <c r="Z11" s="45">
        <f>VLOOKUP(1,AB7:AI10,8,FALSE)</f>
        <v>0</v>
      </c>
      <c r="AA11" s="35"/>
    </row>
    <row r="12" spans="1:27" ht="12.75">
      <c r="A12" s="34"/>
      <c r="B12" s="30" t="s">
        <v>53</v>
      </c>
      <c r="C12" s="31">
        <v>0.75</v>
      </c>
      <c r="D12" s="32" t="s">
        <v>100</v>
      </c>
      <c r="E12" s="31" t="s">
        <v>2</v>
      </c>
      <c r="F12" s="29" t="str">
        <f>AC28</f>
        <v>Mexico</v>
      </c>
      <c r="G12" s="33" t="str">
        <f>AC29</f>
        <v>Iran</v>
      </c>
      <c r="H12" s="71">
        <v>3</v>
      </c>
      <c r="I12" s="71">
        <v>1</v>
      </c>
      <c r="J12" s="38"/>
      <c r="K12" s="38" t="str">
        <f t="shared" si="0"/>
        <v>Serbia &amp; Montenegro</v>
      </c>
      <c r="L12" s="38">
        <f t="shared" si="6"/>
        <v>0</v>
      </c>
      <c r="M12" s="38" t="str">
        <f t="shared" si="7"/>
        <v>Serbia &amp; Montenegro</v>
      </c>
      <c r="N12" s="38">
        <f t="shared" si="1"/>
        <v>1</v>
      </c>
      <c r="O12" s="38" t="str">
        <f t="shared" si="2"/>
        <v>Netherlands</v>
      </c>
      <c r="P12" s="38">
        <f t="shared" si="3"/>
        <v>1</v>
      </c>
      <c r="Q12" s="38" t="str">
        <f t="shared" si="8"/>
        <v>Netherlands</v>
      </c>
      <c r="R12" s="38">
        <f t="shared" si="9"/>
        <v>0</v>
      </c>
      <c r="S12" s="38" t="str">
        <f t="shared" si="4"/>
        <v>Serbia &amp; Montenegro_lose</v>
      </c>
      <c r="T12" s="38" t="str">
        <f t="shared" si="5"/>
        <v>Netherlands_win</v>
      </c>
      <c r="U12" s="12" t="s">
        <v>0</v>
      </c>
      <c r="V12" s="13"/>
      <c r="W12" s="13"/>
      <c r="X12" s="13"/>
      <c r="Y12" s="13"/>
      <c r="Z12" s="14"/>
      <c r="AA12" s="35"/>
    </row>
    <row r="13" spans="1:27" ht="12.75">
      <c r="A13" s="34"/>
      <c r="B13" s="30" t="s">
        <v>53</v>
      </c>
      <c r="C13" s="31">
        <v>0.875</v>
      </c>
      <c r="D13" s="32" t="s">
        <v>101</v>
      </c>
      <c r="E13" s="31" t="s">
        <v>2</v>
      </c>
      <c r="F13" s="29" t="str">
        <f>AC30</f>
        <v>Angola</v>
      </c>
      <c r="G13" s="33" t="str">
        <f>AC31</f>
        <v>Portugal</v>
      </c>
      <c r="H13" s="71">
        <v>0</v>
      </c>
      <c r="I13" s="71">
        <v>1</v>
      </c>
      <c r="J13" s="38"/>
      <c r="K13" s="38" t="str">
        <f t="shared" si="0"/>
        <v>Mexico</v>
      </c>
      <c r="L13" s="38">
        <f t="shared" si="6"/>
        <v>3</v>
      </c>
      <c r="M13" s="38" t="str">
        <f t="shared" si="7"/>
        <v>Mexico</v>
      </c>
      <c r="N13" s="38">
        <f t="shared" si="1"/>
        <v>1</v>
      </c>
      <c r="O13" s="38" t="str">
        <f t="shared" si="2"/>
        <v>Iran</v>
      </c>
      <c r="P13" s="38">
        <f t="shared" si="3"/>
        <v>1</v>
      </c>
      <c r="Q13" s="38" t="str">
        <f t="shared" si="8"/>
        <v>Iran</v>
      </c>
      <c r="R13" s="38">
        <f t="shared" si="9"/>
        <v>3</v>
      </c>
      <c r="S13" s="38" t="str">
        <f t="shared" si="4"/>
        <v>Mexico_win</v>
      </c>
      <c r="T13" s="38" t="str">
        <f t="shared" si="5"/>
        <v>Iran_lose</v>
      </c>
      <c r="U13" s="39"/>
      <c r="V13" s="40" t="s">
        <v>1</v>
      </c>
      <c r="W13" s="40" t="s">
        <v>2</v>
      </c>
      <c r="X13" s="40" t="s">
        <v>3</v>
      </c>
      <c r="Y13" s="40" t="s">
        <v>4</v>
      </c>
      <c r="Z13" s="41" t="s">
        <v>5</v>
      </c>
      <c r="AA13" s="35"/>
    </row>
    <row r="14" spans="1:38" ht="12.75">
      <c r="A14" s="34"/>
      <c r="B14" s="30" t="s">
        <v>54</v>
      </c>
      <c r="C14" s="31">
        <v>0.875</v>
      </c>
      <c r="D14" s="32" t="s">
        <v>102</v>
      </c>
      <c r="E14" s="31" t="s">
        <v>81</v>
      </c>
      <c r="F14" s="29" t="str">
        <f>AC35</f>
        <v>Italy</v>
      </c>
      <c r="G14" s="33" t="str">
        <f>AC36</f>
        <v>Ghana</v>
      </c>
      <c r="H14" s="71">
        <v>2</v>
      </c>
      <c r="I14" s="71">
        <v>0</v>
      </c>
      <c r="J14" s="38"/>
      <c r="K14" s="38" t="str">
        <f t="shared" si="0"/>
        <v>Angola</v>
      </c>
      <c r="L14" s="38">
        <f t="shared" si="6"/>
        <v>0</v>
      </c>
      <c r="M14" s="38" t="str">
        <f t="shared" si="7"/>
        <v>Angola</v>
      </c>
      <c r="N14" s="38">
        <f t="shared" si="1"/>
        <v>1</v>
      </c>
      <c r="O14" s="38" t="str">
        <f t="shared" si="2"/>
        <v>Portugal</v>
      </c>
      <c r="P14" s="38">
        <f t="shared" si="3"/>
        <v>1</v>
      </c>
      <c r="Q14" s="38" t="str">
        <f t="shared" si="8"/>
        <v>Portugal</v>
      </c>
      <c r="R14" s="38">
        <f t="shared" si="9"/>
        <v>0</v>
      </c>
      <c r="S14" s="38" t="str">
        <f t="shared" si="4"/>
        <v>Angola_lose</v>
      </c>
      <c r="T14" s="38" t="str">
        <f t="shared" si="5"/>
        <v>Portugal_win</v>
      </c>
      <c r="U14" s="39" t="str">
        <f>VLOOKUP(4,AB14:AI17,2,FALSE)</f>
        <v>England</v>
      </c>
      <c r="V14" s="37">
        <f>VLOOKUP(4,AB14:AI17,3,FALSE)</f>
        <v>2</v>
      </c>
      <c r="W14" s="37">
        <f>VLOOKUP(4,AB14:AI17,4,FALSE)</f>
        <v>1</v>
      </c>
      <c r="X14" s="37">
        <f>VLOOKUP(4,AB14:AI17,5,FALSE)</f>
        <v>0</v>
      </c>
      <c r="Y14" s="37" t="str">
        <f>CONCATENATE(VLOOKUP(4,AB14:AI17,6,FALSE)," - ",VLOOKUP(4,AB14:AI17,7,FALSE))</f>
        <v>5 - 2</v>
      </c>
      <c r="Z14" s="42">
        <f>VLOOKUP(4,AB14:AI17,8,FALSE)</f>
        <v>7</v>
      </c>
      <c r="AA14" s="35"/>
      <c r="AB14" s="2">
        <f>IF(AJ14&gt;AJ14,1,0)+IF(AJ14&gt;AJ15,1,0)+IF(AJ14&gt;AJ16,1,0)+IF(AJ14&gt;AJ17,1,0)+1</f>
        <v>4</v>
      </c>
      <c r="AC14" s="1" t="s">
        <v>24</v>
      </c>
      <c r="AD14" s="3">
        <f>COUNTIF($S$7:$T$54,CONCATENATE(AC14,"_win"))</f>
        <v>2</v>
      </c>
      <c r="AE14" s="3">
        <f>COUNTIF($S$7:$T$54,CONCATENATE(AC14,"_draw"))</f>
        <v>1</v>
      </c>
      <c r="AF14" s="3">
        <f>COUNTIF($S$7:$T$54,CONCATENATE(AC14,"_lose"))</f>
        <v>0</v>
      </c>
      <c r="AG14" s="3">
        <f>SUMIF($O$7:$O$54,CONCATENATE("=",AC14),$P$7:$P$54)+SUMIF($K$7:$K$54,CONCATENATE("=",AC14),$L$7:$L$54)</f>
        <v>5</v>
      </c>
      <c r="AH14" s="3">
        <f>SUMIF($Q$7:$Q$54,CONCATENATE("=",AC14),$R$7:$R$54)+SUMIF($M$7:$M$54,CONCATENATE("=",AC14),$N$7:$N$54)</f>
        <v>2</v>
      </c>
      <c r="AI14" s="3">
        <f>AD14*3+AE14</f>
        <v>7</v>
      </c>
      <c r="AJ14" s="3">
        <f>0.4+AG14+(AG14-AH14)*100+AD14*1000+AI14*10000</f>
        <v>72305.4</v>
      </c>
      <c r="AL14" s="1" t="str">
        <f>IF(SUM(AD14:AF17)=12,U14,"Group B Winner")</f>
        <v>England</v>
      </c>
    </row>
    <row r="15" spans="1:38" ht="12.75">
      <c r="A15" s="34"/>
      <c r="B15" s="30" t="s">
        <v>54</v>
      </c>
      <c r="C15" s="31">
        <v>0.75</v>
      </c>
      <c r="D15" s="32" t="s">
        <v>95</v>
      </c>
      <c r="E15" s="31" t="s">
        <v>81</v>
      </c>
      <c r="F15" s="29" t="str">
        <f>AC37</f>
        <v>USA</v>
      </c>
      <c r="G15" s="33" t="str">
        <f>AC38</f>
        <v>Czech Republic</v>
      </c>
      <c r="H15" s="71">
        <v>0</v>
      </c>
      <c r="I15" s="71">
        <v>3</v>
      </c>
      <c r="J15" s="38"/>
      <c r="K15" s="38" t="str">
        <f t="shared" si="0"/>
        <v>Italy</v>
      </c>
      <c r="L15" s="38">
        <f t="shared" si="6"/>
        <v>2</v>
      </c>
      <c r="M15" s="38" t="str">
        <f t="shared" si="7"/>
        <v>Italy</v>
      </c>
      <c r="N15" s="38">
        <f t="shared" si="1"/>
        <v>0</v>
      </c>
      <c r="O15" s="38" t="str">
        <f t="shared" si="2"/>
        <v>Ghana</v>
      </c>
      <c r="P15" s="38">
        <f t="shared" si="3"/>
        <v>0</v>
      </c>
      <c r="Q15" s="38" t="str">
        <f t="shared" si="8"/>
        <v>Ghana</v>
      </c>
      <c r="R15" s="38">
        <f t="shared" si="9"/>
        <v>2</v>
      </c>
      <c r="S15" s="38" t="str">
        <f t="shared" si="4"/>
        <v>Italy_win</v>
      </c>
      <c r="T15" s="38" t="str">
        <f t="shared" si="5"/>
        <v>Ghana_lose</v>
      </c>
      <c r="U15" s="39" t="str">
        <f>VLOOKUP(3,AB14:AI17,2,FALSE)</f>
        <v>Sweden</v>
      </c>
      <c r="V15" s="37">
        <f>VLOOKUP(3,AB14:AI17,3,FALSE)</f>
        <v>1</v>
      </c>
      <c r="W15" s="37">
        <f>VLOOKUP(3,AB14:AI17,4,FALSE)</f>
        <v>2</v>
      </c>
      <c r="X15" s="37">
        <f>VLOOKUP(3,AB14:AI17,5,FALSE)</f>
        <v>0</v>
      </c>
      <c r="Y15" s="37" t="str">
        <f>CONCATENATE(VLOOKUP(3,AB14:AI17,6,FALSE)," - ",VLOOKUP(3,AB14:AI17,7,FALSE))</f>
        <v>3 - 2</v>
      </c>
      <c r="Z15" s="42">
        <f>VLOOKUP(3,AB14:AI17,8,FALSE)</f>
        <v>5</v>
      </c>
      <c r="AA15" s="35"/>
      <c r="AB15" s="2">
        <f>IF(AJ15&gt;AJ14,1,0)+IF(AJ15&gt;AJ15,1,0)+IF(AJ15&gt;AJ16,1,0)+IF(AJ15&gt;AJ17,1,0)+1</f>
        <v>2</v>
      </c>
      <c r="AC15" s="1" t="s">
        <v>25</v>
      </c>
      <c r="AD15" s="3">
        <f>COUNTIF($S$7:$T$54,CONCATENATE(AC15,"_win"))</f>
        <v>1</v>
      </c>
      <c r="AE15" s="3">
        <f>COUNTIF($S$7:$T$54,CONCATENATE(AC15,"_draw"))</f>
        <v>0</v>
      </c>
      <c r="AF15" s="3">
        <f>COUNTIF($S$7:$T$54,CONCATENATE(AC15,"_lose"))</f>
        <v>2</v>
      </c>
      <c r="AG15" s="3">
        <f>SUMIF($O$7:$O$54,CONCATENATE("=",AC15),$P$7:$P$54)+SUMIF($K$7:$K$54,CONCATENATE("=",AC15),$L$7:$L$54)</f>
        <v>2</v>
      </c>
      <c r="AH15" s="3">
        <f>SUMIF($Q$7:$Q$54,CONCATENATE("=",AC15),$R$7:$R$54)+SUMIF($M$7:$M$54,CONCATENATE("=",AC15),$N$7:$N$54)</f>
        <v>2</v>
      </c>
      <c r="AI15" s="3">
        <f>AD15*3+AE15</f>
        <v>3</v>
      </c>
      <c r="AJ15" s="3">
        <f>0.3+AG15+(AG15-AH15)*100+AD15*1000+AI15*10000</f>
        <v>31002.3</v>
      </c>
      <c r="AL15" s="1" t="str">
        <f>IF(SUM(AD14:AF17)=12,U15,"Group B Second place")</f>
        <v>Sweden</v>
      </c>
    </row>
    <row r="16" spans="1:36" ht="12.75">
      <c r="A16" s="34"/>
      <c r="B16" s="30" t="s">
        <v>54</v>
      </c>
      <c r="C16" s="31">
        <v>0.625</v>
      </c>
      <c r="D16" s="32" t="s">
        <v>104</v>
      </c>
      <c r="E16" s="31" t="s">
        <v>10</v>
      </c>
      <c r="F16" s="29" t="str">
        <f>AC44</f>
        <v>Australia</v>
      </c>
      <c r="G16" s="33" t="str">
        <f>AC45</f>
        <v>Japan</v>
      </c>
      <c r="H16" s="71">
        <v>3</v>
      </c>
      <c r="I16" s="71">
        <v>1</v>
      </c>
      <c r="J16" s="38"/>
      <c r="K16" s="38" t="str">
        <f t="shared" si="0"/>
        <v>USA</v>
      </c>
      <c r="L16" s="38">
        <f t="shared" si="6"/>
        <v>0</v>
      </c>
      <c r="M16" s="38" t="str">
        <f t="shared" si="7"/>
        <v>USA</v>
      </c>
      <c r="N16" s="38">
        <f t="shared" si="1"/>
        <v>3</v>
      </c>
      <c r="O16" s="38" t="str">
        <f t="shared" si="2"/>
        <v>Czech Republic</v>
      </c>
      <c r="P16" s="38">
        <f t="shared" si="3"/>
        <v>3</v>
      </c>
      <c r="Q16" s="38" t="str">
        <f t="shared" si="8"/>
        <v>Czech Republic</v>
      </c>
      <c r="R16" s="38">
        <f t="shared" si="9"/>
        <v>0</v>
      </c>
      <c r="S16" s="38" t="str">
        <f t="shared" si="4"/>
        <v>USA_lose</v>
      </c>
      <c r="T16" s="38" t="str">
        <f t="shared" si="5"/>
        <v>Czech Republic_win</v>
      </c>
      <c r="U16" s="39" t="str">
        <f>VLOOKUP(2,AB14:AI17,2,FALSE)</f>
        <v>Paraguay</v>
      </c>
      <c r="V16" s="37">
        <f>VLOOKUP(2,AB14:AI17,3,FALSE)</f>
        <v>1</v>
      </c>
      <c r="W16" s="37">
        <f>VLOOKUP(2,AB14:AI17,4,FALSE)</f>
        <v>0</v>
      </c>
      <c r="X16" s="37">
        <f>VLOOKUP(2,AB14:AI17,5,FALSE)</f>
        <v>2</v>
      </c>
      <c r="Y16" s="37" t="str">
        <f>CONCATENATE(VLOOKUP(2,AB14:AI17,6,FALSE)," - ",VLOOKUP(2,AB14:AI17,7,FALSE))</f>
        <v>2 - 2</v>
      </c>
      <c r="Z16" s="42">
        <f>VLOOKUP(2,AB14:AI17,8,FALSE)</f>
        <v>3</v>
      </c>
      <c r="AA16" s="35"/>
      <c r="AB16" s="2">
        <f>IF(AJ16&gt;AJ14,1,0)+IF(AJ16&gt;AJ15,1,0)+IF(AJ16&gt;AJ16,1,0)+IF(AJ16&gt;AJ17,1,0)+1</f>
        <v>1</v>
      </c>
      <c r="AC16" s="1" t="s">
        <v>26</v>
      </c>
      <c r="AD16" s="3">
        <f>COUNTIF($S$7:$T$54,CONCATENATE(AC16,"_win"))</f>
        <v>0</v>
      </c>
      <c r="AE16" s="3">
        <f>COUNTIF($S$7:$T$54,CONCATENATE(AC16,"_draw"))</f>
        <v>1</v>
      </c>
      <c r="AF16" s="3">
        <f>COUNTIF($S$7:$T$54,CONCATENATE(AC16,"_lose"))</f>
        <v>2</v>
      </c>
      <c r="AG16" s="3">
        <f>SUMIF($O$7:$O$54,CONCATENATE("=",AC16),$P$7:$P$54)+SUMIF($K$7:$K$54,CONCATENATE("=",AC16),$L$7:$L$54)</f>
        <v>0</v>
      </c>
      <c r="AH16" s="3">
        <f>SUMIF($Q$7:$Q$54,CONCATENATE("=",AC16),$R$7:$R$54)+SUMIF($M$7:$M$54,CONCATENATE("=",AC16),$N$7:$N$54)</f>
        <v>4</v>
      </c>
      <c r="AI16" s="3">
        <f>AD16*3+AE16</f>
        <v>1</v>
      </c>
      <c r="AJ16" s="3">
        <f>0.2+AG16+(AG16-AH16)*100+AD16*1000+AI16*10000</f>
        <v>9600.2</v>
      </c>
    </row>
    <row r="17" spans="1:36" ht="12.75">
      <c r="A17" s="34"/>
      <c r="B17" s="30" t="s">
        <v>55</v>
      </c>
      <c r="C17" s="31">
        <v>0.875</v>
      </c>
      <c r="D17" s="32" t="s">
        <v>103</v>
      </c>
      <c r="E17" s="31" t="s">
        <v>10</v>
      </c>
      <c r="F17" s="29" t="str">
        <f>AC42</f>
        <v>Brazil</v>
      </c>
      <c r="G17" s="33" t="str">
        <f>AC43</f>
        <v>Croatia</v>
      </c>
      <c r="H17" s="71">
        <v>1</v>
      </c>
      <c r="I17" s="71">
        <v>0</v>
      </c>
      <c r="J17" s="38"/>
      <c r="K17" s="38" t="str">
        <f>F17</f>
        <v>Brazil</v>
      </c>
      <c r="L17" s="38">
        <f>H17</f>
        <v>1</v>
      </c>
      <c r="M17" s="38" t="str">
        <f>F17</f>
        <v>Brazil</v>
      </c>
      <c r="N17" s="38">
        <f>I17</f>
        <v>0</v>
      </c>
      <c r="O17" s="38" t="str">
        <f>G17</f>
        <v>Croatia</v>
      </c>
      <c r="P17" s="38">
        <f>I17</f>
        <v>0</v>
      </c>
      <c r="Q17" s="38" t="str">
        <f>G17</f>
        <v>Croatia</v>
      </c>
      <c r="R17" s="38">
        <f>H17</f>
        <v>1</v>
      </c>
      <c r="S17" s="38" t="str">
        <f>IF(H17="","",IF(I17="","",IF(H17&gt;I17,CONCATENATE(F17,"_win"),IF(H17&lt;I17,CONCATENATE(F17,"_lose"),CONCATENATE(F17,"_draw")))))</f>
        <v>Brazil_win</v>
      </c>
      <c r="T17" s="38" t="str">
        <f>IF(H17="","",IF(I17="","",IF(H17&gt;I17,CONCATENATE(G17,"_lose"),IF(H17&lt;I17,CONCATENATE(G17,"_win"),CONCATENATE(G17,"_draw")))))</f>
        <v>Croatia_lose</v>
      </c>
      <c r="U17" s="43" t="str">
        <f>VLOOKUP(1,AB14:AI17,2,FALSE)</f>
        <v>Trinidad &amp; Tobago</v>
      </c>
      <c r="V17" s="44">
        <f>VLOOKUP(1,AB14:AI17,3,FALSE)</f>
        <v>0</v>
      </c>
      <c r="W17" s="44">
        <f>VLOOKUP(1,AB14:AI17,4,FALSE)</f>
        <v>1</v>
      </c>
      <c r="X17" s="44">
        <f>VLOOKUP(1,AB14:AI17,5,FALSE)</f>
        <v>2</v>
      </c>
      <c r="Y17" s="44" t="str">
        <f>CONCATENATE(VLOOKUP(1,AB14:AI17,6,FALSE)," - ",VLOOKUP(1,AB14:AI17,7,FALSE))</f>
        <v>0 - 4</v>
      </c>
      <c r="Z17" s="45">
        <f>VLOOKUP(1,AB14:AI17,8,FALSE)</f>
        <v>1</v>
      </c>
      <c r="AA17" s="35"/>
      <c r="AB17" s="2">
        <f>IF(AJ17&gt;AJ14,1,0)+IF(AJ17&gt;AJ15,1,0)+IF(AJ17&gt;AJ16,1,0)+IF(AJ17&gt;AJ17,1,0)+1</f>
        <v>3</v>
      </c>
      <c r="AC17" s="1" t="s">
        <v>27</v>
      </c>
      <c r="AD17" s="3">
        <f>COUNTIF($S$7:$T$54,CONCATENATE(AC17,"_win"))</f>
        <v>1</v>
      </c>
      <c r="AE17" s="3">
        <f>COUNTIF($S$7:$T$54,CONCATENATE(AC17,"_draw"))</f>
        <v>2</v>
      </c>
      <c r="AF17" s="3">
        <f>COUNTIF($S$7:$T$54,CONCATENATE(AC17,"_lose"))</f>
        <v>0</v>
      </c>
      <c r="AG17" s="3">
        <f>SUMIF($O$7:$O$54,CONCATENATE("=",AC17),$P$7:$P$54)+SUMIF($K$7:$K$54,CONCATENATE("=",AC17),$L$7:$L$54)</f>
        <v>3</v>
      </c>
      <c r="AH17" s="3">
        <f>SUMIF($Q$7:$Q$54,CONCATENATE("=",AC17),$R$7:$R$54)+SUMIF($M$7:$M$54,CONCATENATE("=",AC17),$N$7:$N$54)</f>
        <v>2</v>
      </c>
      <c r="AI17" s="3">
        <f>AD17*3+AE17</f>
        <v>5</v>
      </c>
      <c r="AJ17" s="3">
        <f>0.1+AG17+(AG17-AH17)*100+AD17*1000+AI17*10000</f>
        <v>51103.1</v>
      </c>
    </row>
    <row r="18" spans="1:27" ht="12.75">
      <c r="A18" s="34"/>
      <c r="B18" s="30" t="s">
        <v>55</v>
      </c>
      <c r="C18" s="31">
        <v>0.75</v>
      </c>
      <c r="D18" s="32" t="s">
        <v>105</v>
      </c>
      <c r="E18" s="31" t="s">
        <v>82</v>
      </c>
      <c r="F18" s="29" t="str">
        <f>AC49</f>
        <v>France</v>
      </c>
      <c r="G18" s="33" t="str">
        <f>AC50</f>
        <v>Switzerland</v>
      </c>
      <c r="H18" s="71">
        <v>0</v>
      </c>
      <c r="I18" s="71">
        <v>0</v>
      </c>
      <c r="J18" s="38"/>
      <c r="K18" s="38" t="str">
        <f>F16</f>
        <v>Australia</v>
      </c>
      <c r="L18" s="38">
        <f>H16</f>
        <v>3</v>
      </c>
      <c r="M18" s="38" t="str">
        <f>F16</f>
        <v>Australia</v>
      </c>
      <c r="N18" s="38">
        <f>I16</f>
        <v>1</v>
      </c>
      <c r="O18" s="38" t="str">
        <f>G16</f>
        <v>Japan</v>
      </c>
      <c r="P18" s="38">
        <f>I16</f>
        <v>1</v>
      </c>
      <c r="Q18" s="38" t="str">
        <f>G16</f>
        <v>Japan</v>
      </c>
      <c r="R18" s="38">
        <f>H16</f>
        <v>3</v>
      </c>
      <c r="S18" s="38" t="str">
        <f>IF(H16="","",IF(I16="","",IF(H16&gt;I16,CONCATENATE(F16,"_win"),IF(H16&lt;I16,CONCATENATE(F16,"_lose"),CONCATENATE(F16,"_draw")))))</f>
        <v>Australia_win</v>
      </c>
      <c r="T18" s="38" t="str">
        <f>IF(H16="","",IF(I16="","",IF(H16&gt;I16,CONCATENATE(G16,"_lose"),IF(H16&lt;I16,CONCATENATE(G16,"_win"),CONCATENATE(G16,"_draw")))))</f>
        <v>Japan_lose</v>
      </c>
      <c r="U18" s="12" t="s">
        <v>15</v>
      </c>
      <c r="V18" s="13"/>
      <c r="W18" s="13"/>
      <c r="X18" s="13"/>
      <c r="Y18" s="13"/>
      <c r="Z18" s="14"/>
      <c r="AA18" s="35"/>
    </row>
    <row r="19" spans="1:27" ht="12.75">
      <c r="A19" s="34"/>
      <c r="B19" s="30" t="s">
        <v>55</v>
      </c>
      <c r="C19" s="31">
        <v>0.625</v>
      </c>
      <c r="D19" s="32" t="s">
        <v>96</v>
      </c>
      <c r="E19" s="31" t="s">
        <v>82</v>
      </c>
      <c r="F19" s="29" t="str">
        <f>AC51</f>
        <v>Korea Republic</v>
      </c>
      <c r="G19" s="33" t="str">
        <f>AC52</f>
        <v>Togo</v>
      </c>
      <c r="H19" s="71">
        <v>2</v>
      </c>
      <c r="I19" s="71">
        <v>1</v>
      </c>
      <c r="J19" s="38"/>
      <c r="K19" s="38" t="str">
        <f aca="true" t="shared" si="10" ref="K19:K54">F18</f>
        <v>France</v>
      </c>
      <c r="L19" s="38">
        <f aca="true" t="shared" si="11" ref="L19:L54">H18</f>
        <v>0</v>
      </c>
      <c r="M19" s="38" t="str">
        <f aca="true" t="shared" si="12" ref="M19:M54">F18</f>
        <v>France</v>
      </c>
      <c r="N19" s="38">
        <f aca="true" t="shared" si="13" ref="N19:N54">I18</f>
        <v>0</v>
      </c>
      <c r="O19" s="38" t="str">
        <f aca="true" t="shared" si="14" ref="O19:O54">G18</f>
        <v>Switzerland</v>
      </c>
      <c r="P19" s="38">
        <f aca="true" t="shared" si="15" ref="P19:P54">I18</f>
        <v>0</v>
      </c>
      <c r="Q19" s="38" t="str">
        <f aca="true" t="shared" si="16" ref="Q19:Q54">G18</f>
        <v>Switzerland</v>
      </c>
      <c r="R19" s="38">
        <f aca="true" t="shared" si="17" ref="R19:R54">H18</f>
        <v>0</v>
      </c>
      <c r="S19" s="38" t="str">
        <f aca="true" t="shared" si="18" ref="S19:S54">IF(H18="","",IF(I18="","",IF(H18&gt;I18,CONCATENATE(F18,"_win"),IF(H18&lt;I18,CONCATENATE(F18,"_lose"),CONCATENATE(F18,"_draw")))))</f>
        <v>France_draw</v>
      </c>
      <c r="T19" s="38" t="str">
        <f aca="true" t="shared" si="19" ref="T19:T54">IF(H18="","",IF(I18="","",IF(H18&gt;I18,CONCATENATE(G18,"_lose"),IF(H18&lt;I18,CONCATENATE(G18,"_win"),CONCATENATE(G18,"_draw")))))</f>
        <v>Switzerland_draw</v>
      </c>
      <c r="U19" s="39"/>
      <c r="V19" s="40" t="s">
        <v>1</v>
      </c>
      <c r="W19" s="40" t="s">
        <v>2</v>
      </c>
      <c r="X19" s="40" t="s">
        <v>3</v>
      </c>
      <c r="Y19" s="40" t="s">
        <v>4</v>
      </c>
      <c r="Z19" s="41" t="s">
        <v>5</v>
      </c>
      <c r="AA19" s="35"/>
    </row>
    <row r="20" spans="1:27" ht="12.75">
      <c r="A20" s="34"/>
      <c r="B20" s="30" t="s">
        <v>56</v>
      </c>
      <c r="C20" s="31">
        <v>0.625</v>
      </c>
      <c r="D20" s="32" t="s">
        <v>99</v>
      </c>
      <c r="E20" s="31" t="s">
        <v>83</v>
      </c>
      <c r="F20" s="29" t="str">
        <f>AC56</f>
        <v>Spain</v>
      </c>
      <c r="G20" s="33" t="str">
        <f>AC57</f>
        <v>Ukraine</v>
      </c>
      <c r="H20" s="71">
        <v>4</v>
      </c>
      <c r="I20" s="71">
        <v>0</v>
      </c>
      <c r="J20" s="38"/>
      <c r="K20" s="38" t="str">
        <f t="shared" si="10"/>
        <v>Korea Republic</v>
      </c>
      <c r="L20" s="38">
        <f t="shared" si="11"/>
        <v>2</v>
      </c>
      <c r="M20" s="38" t="str">
        <f t="shared" si="12"/>
        <v>Korea Republic</v>
      </c>
      <c r="N20" s="38">
        <f t="shared" si="13"/>
        <v>1</v>
      </c>
      <c r="O20" s="38" t="str">
        <f t="shared" si="14"/>
        <v>Togo</v>
      </c>
      <c r="P20" s="38">
        <f t="shared" si="15"/>
        <v>1</v>
      </c>
      <c r="Q20" s="38" t="str">
        <f t="shared" si="16"/>
        <v>Togo</v>
      </c>
      <c r="R20" s="38">
        <f t="shared" si="17"/>
        <v>2</v>
      </c>
      <c r="S20" s="38" t="str">
        <f t="shared" si="18"/>
        <v>Korea Republic_win</v>
      </c>
      <c r="T20" s="38" t="str">
        <f t="shared" si="19"/>
        <v>Togo_lose</v>
      </c>
      <c r="U20" s="39" t="str">
        <f>VLOOKUP(4,AB21:AI24,2,FALSE)</f>
        <v>Argentina</v>
      </c>
      <c r="V20" s="37">
        <f>VLOOKUP(4,AB21:AI24,3,FALSE)</f>
        <v>2</v>
      </c>
      <c r="W20" s="37">
        <f>VLOOKUP(4,AB21:AI24,4,FALSE)</f>
        <v>1</v>
      </c>
      <c r="X20" s="37">
        <f>VLOOKUP(4,AB21:AI24,5,FALSE)</f>
        <v>0</v>
      </c>
      <c r="Y20" s="37" t="str">
        <f>CONCATENATE(VLOOKUP(4,AB21:AI24,6,FALSE)," - ",VLOOKUP(4,AB21:AI24,7,FALSE))</f>
        <v>8 - 1</v>
      </c>
      <c r="Z20" s="42">
        <f>VLOOKUP(4,AB21:AI24,8,FALSE)</f>
        <v>7</v>
      </c>
      <c r="AA20" s="35"/>
    </row>
    <row r="21" spans="1:38" ht="12.75">
      <c r="A21" s="34"/>
      <c r="B21" s="30" t="s">
        <v>56</v>
      </c>
      <c r="C21" s="31">
        <v>0.75</v>
      </c>
      <c r="D21" s="32" t="s">
        <v>94</v>
      </c>
      <c r="E21" s="31" t="s">
        <v>83</v>
      </c>
      <c r="F21" s="29" t="str">
        <f>AC58</f>
        <v>Tunisia</v>
      </c>
      <c r="G21" s="33" t="str">
        <f>AC59</f>
        <v>Saudi Arabia</v>
      </c>
      <c r="H21" s="71">
        <v>2</v>
      </c>
      <c r="I21" s="71">
        <v>2</v>
      </c>
      <c r="J21" s="38"/>
      <c r="K21" s="38" t="str">
        <f t="shared" si="10"/>
        <v>Spain</v>
      </c>
      <c r="L21" s="38">
        <f t="shared" si="11"/>
        <v>4</v>
      </c>
      <c r="M21" s="38" t="str">
        <f t="shared" si="12"/>
        <v>Spain</v>
      </c>
      <c r="N21" s="38">
        <f t="shared" si="13"/>
        <v>0</v>
      </c>
      <c r="O21" s="38" t="str">
        <f t="shared" si="14"/>
        <v>Ukraine</v>
      </c>
      <c r="P21" s="38">
        <f t="shared" si="15"/>
        <v>0</v>
      </c>
      <c r="Q21" s="38" t="str">
        <f t="shared" si="16"/>
        <v>Ukraine</v>
      </c>
      <c r="R21" s="38">
        <f t="shared" si="17"/>
        <v>4</v>
      </c>
      <c r="S21" s="38" t="str">
        <f t="shared" si="18"/>
        <v>Spain_win</v>
      </c>
      <c r="T21" s="38" t="str">
        <f t="shared" si="19"/>
        <v>Ukraine_lose</v>
      </c>
      <c r="U21" s="39" t="str">
        <f>VLOOKUP(3,AB21:AI24,2,FALSE)</f>
        <v>Netherlands</v>
      </c>
      <c r="V21" s="37">
        <f>VLOOKUP(3,AB21:AI24,3,FALSE)</f>
        <v>2</v>
      </c>
      <c r="W21" s="37">
        <f>VLOOKUP(3,AB21:AI24,4,FALSE)</f>
        <v>1</v>
      </c>
      <c r="X21" s="37">
        <f>VLOOKUP(3,AB21:AI24,5,FALSE)</f>
        <v>0</v>
      </c>
      <c r="Y21" s="37" t="str">
        <f>CONCATENATE(VLOOKUP(3,AB21:AI24,6,FALSE)," - ",VLOOKUP(3,AB21:AI24,7,FALSE))</f>
        <v>3 - 1</v>
      </c>
      <c r="Z21" s="42">
        <f>VLOOKUP(3,AB21:AI24,8,FALSE)</f>
        <v>7</v>
      </c>
      <c r="AA21" s="35"/>
      <c r="AB21" s="2">
        <f>IF(AJ21&gt;AJ21,1,0)+IF(AJ21&gt;AJ22,1,0)+IF(AJ21&gt;AJ23,1,0)+IF(AJ21&gt;AJ24,1,0)+1</f>
        <v>4</v>
      </c>
      <c r="AC21" s="1" t="s">
        <v>28</v>
      </c>
      <c r="AD21" s="3">
        <f>COUNTIF($S$7:$T$54,CONCATENATE(AC21,"_win"))</f>
        <v>2</v>
      </c>
      <c r="AE21" s="3">
        <f>COUNTIF($S$7:$T$54,CONCATENATE(AC21,"_draw"))</f>
        <v>1</v>
      </c>
      <c r="AF21" s="3">
        <f>COUNTIF($S$7:$T$54,CONCATENATE(AC21,"_lose"))</f>
        <v>0</v>
      </c>
      <c r="AG21" s="3">
        <f>SUMIF($O$7:$O$54,CONCATENATE("=",AC21),$P$7:$P$54)+SUMIF($K$7:$K$54,CONCATENATE("=",AC21),$L$7:$L$54)</f>
        <v>8</v>
      </c>
      <c r="AH21" s="3">
        <f>SUMIF($Q$7:$Q$54,CONCATENATE("=",AC21),$R$7:$R$54)+SUMIF($M$7:$M$54,CONCATENATE("=",AC21),$N$7:$N$54)</f>
        <v>1</v>
      </c>
      <c r="AI21" s="3">
        <f>AD21*3+AE21</f>
        <v>7</v>
      </c>
      <c r="AJ21" s="3">
        <f>0.4+AG21+(AG21-AH21)*100+AD21*1000+AI21*10000</f>
        <v>72708.4</v>
      </c>
      <c r="AL21" s="1" t="str">
        <f>IF(SUM(AD21:AF24)=12,U20,"Group C Winner")</f>
        <v>Argentina</v>
      </c>
    </row>
    <row r="22" spans="1:38" ht="12.75">
      <c r="A22" s="34"/>
      <c r="B22" s="30" t="s">
        <v>56</v>
      </c>
      <c r="C22" s="31">
        <v>0.875</v>
      </c>
      <c r="D22" s="32" t="s">
        <v>97</v>
      </c>
      <c r="E22" s="31" t="s">
        <v>11</v>
      </c>
      <c r="F22" s="29" t="str">
        <f>AC7</f>
        <v>Germany</v>
      </c>
      <c r="G22" s="33" t="str">
        <f>AC9</f>
        <v>Poland</v>
      </c>
      <c r="H22" s="71">
        <v>1</v>
      </c>
      <c r="I22" s="71">
        <v>0</v>
      </c>
      <c r="J22" s="38"/>
      <c r="K22" s="38" t="str">
        <f t="shared" si="10"/>
        <v>Tunisia</v>
      </c>
      <c r="L22" s="38">
        <f t="shared" si="11"/>
        <v>2</v>
      </c>
      <c r="M22" s="38" t="str">
        <f t="shared" si="12"/>
        <v>Tunisia</v>
      </c>
      <c r="N22" s="38">
        <f t="shared" si="13"/>
        <v>2</v>
      </c>
      <c r="O22" s="38" t="str">
        <f t="shared" si="14"/>
        <v>Saudi Arabia</v>
      </c>
      <c r="P22" s="38">
        <f t="shared" si="15"/>
        <v>2</v>
      </c>
      <c r="Q22" s="38" t="str">
        <f t="shared" si="16"/>
        <v>Saudi Arabia</v>
      </c>
      <c r="R22" s="38">
        <f t="shared" si="17"/>
        <v>2</v>
      </c>
      <c r="S22" s="38" t="str">
        <f t="shared" si="18"/>
        <v>Tunisia_draw</v>
      </c>
      <c r="T22" s="38" t="str">
        <f t="shared" si="19"/>
        <v>Saudi Arabia_draw</v>
      </c>
      <c r="U22" s="39" t="str">
        <f>VLOOKUP(2,AB21:AI24,2,FALSE)</f>
        <v>Côte d'Ivoire</v>
      </c>
      <c r="V22" s="37">
        <f>VLOOKUP(2,AB21:AI24,3,FALSE)</f>
        <v>1</v>
      </c>
      <c r="W22" s="37">
        <f>VLOOKUP(2,AB21:AI24,4,FALSE)</f>
        <v>0</v>
      </c>
      <c r="X22" s="37">
        <f>VLOOKUP(2,AB21:AI24,5,FALSE)</f>
        <v>2</v>
      </c>
      <c r="Y22" s="37" t="str">
        <f>CONCATENATE(VLOOKUP(2,AB21:AI24,6,FALSE)," - ",VLOOKUP(2,AB21:AI24,7,FALSE))</f>
        <v>5 - 6</v>
      </c>
      <c r="Z22" s="42">
        <f>VLOOKUP(2,AB21:AI24,8,FALSE)</f>
        <v>3</v>
      </c>
      <c r="AA22" s="35"/>
      <c r="AB22" s="2">
        <f>IF(AJ22&gt;AJ21,1,0)+IF(AJ22&gt;AJ22,1,0)+IF(AJ22&gt;AJ23,1,0)+IF(AJ22&gt;AJ24,1,0)+1</f>
        <v>2</v>
      </c>
      <c r="AC22" s="1" t="s">
        <v>107</v>
      </c>
      <c r="AD22" s="3">
        <f>COUNTIF($S$7:$T$54,CONCATENATE(AC22,"_win"))</f>
        <v>1</v>
      </c>
      <c r="AE22" s="3">
        <f>COUNTIF($S$7:$T$54,CONCATENATE(AC22,"_draw"))</f>
        <v>0</v>
      </c>
      <c r="AF22" s="3">
        <f>COUNTIF($S$7:$T$54,CONCATENATE(AC22,"_lose"))</f>
        <v>2</v>
      </c>
      <c r="AG22" s="3">
        <f>SUMIF($O$7:$O$54,CONCATENATE("=",AC22),$P$7:$P$54)+SUMIF($K$7:$K$54,CONCATENATE("=",AC22),$L$7:$L$54)</f>
        <v>5</v>
      </c>
      <c r="AH22" s="3">
        <f>SUMIF($Q$7:$Q$54,CONCATENATE("=",AC22),$R$7:$R$54)+SUMIF($M$7:$M$54,CONCATENATE("=",AC22),$N$7:$N$54)</f>
        <v>6</v>
      </c>
      <c r="AI22" s="3">
        <f>AD22*3+AE22</f>
        <v>3</v>
      </c>
      <c r="AJ22" s="3">
        <f>0.3+AG22+(AG22-AH22)*100+AD22*1000+AI22*10000</f>
        <v>30905.3</v>
      </c>
      <c r="AL22" s="1" t="str">
        <f>IF(SUM(AD21:AF24)=12,U21,"Group C Second place")</f>
        <v>Netherlands</v>
      </c>
    </row>
    <row r="23" spans="1:36" ht="12.75">
      <c r="A23" s="34"/>
      <c r="B23" s="30" t="s">
        <v>57</v>
      </c>
      <c r="C23" s="31">
        <v>0.625</v>
      </c>
      <c r="D23" s="32" t="s">
        <v>98</v>
      </c>
      <c r="E23" s="31" t="s">
        <v>11</v>
      </c>
      <c r="F23" s="29" t="str">
        <f>AC10</f>
        <v>Ecuador</v>
      </c>
      <c r="G23" s="33" t="str">
        <f>AC8</f>
        <v>Costa Rica</v>
      </c>
      <c r="H23" s="71">
        <v>3</v>
      </c>
      <c r="I23" s="71">
        <v>0</v>
      </c>
      <c r="J23" s="38"/>
      <c r="K23" s="38" t="str">
        <f t="shared" si="10"/>
        <v>Germany</v>
      </c>
      <c r="L23" s="38">
        <f t="shared" si="11"/>
        <v>1</v>
      </c>
      <c r="M23" s="38" t="str">
        <f t="shared" si="12"/>
        <v>Germany</v>
      </c>
      <c r="N23" s="38">
        <f t="shared" si="13"/>
        <v>0</v>
      </c>
      <c r="O23" s="38" t="str">
        <f t="shared" si="14"/>
        <v>Poland</v>
      </c>
      <c r="P23" s="38">
        <f t="shared" si="15"/>
        <v>0</v>
      </c>
      <c r="Q23" s="38" t="str">
        <f t="shared" si="16"/>
        <v>Poland</v>
      </c>
      <c r="R23" s="38">
        <f t="shared" si="17"/>
        <v>1</v>
      </c>
      <c r="S23" s="38" t="str">
        <f t="shared" si="18"/>
        <v>Germany_win</v>
      </c>
      <c r="T23" s="38" t="str">
        <f t="shared" si="19"/>
        <v>Poland_lose</v>
      </c>
      <c r="U23" s="43" t="str">
        <f>VLOOKUP(1,AB21:AI24,2,FALSE)</f>
        <v>Serbia &amp; Montenegro</v>
      </c>
      <c r="V23" s="44">
        <f>VLOOKUP(1,AB21:AI24,3,FALSE)</f>
        <v>0</v>
      </c>
      <c r="W23" s="44">
        <f>VLOOKUP(1,AB21:AI24,4,FALSE)</f>
        <v>0</v>
      </c>
      <c r="X23" s="44">
        <f>VLOOKUP(1,AB21:AI24,5,FALSE)</f>
        <v>3</v>
      </c>
      <c r="Y23" s="44" t="str">
        <f>CONCATENATE(VLOOKUP(1,AB21:AI24,6,FALSE)," - ",VLOOKUP(1,AB21:AI24,7,FALSE))</f>
        <v>2 - 10</v>
      </c>
      <c r="Z23" s="45">
        <f>VLOOKUP(1,AB21:AI24,8,FALSE)</f>
        <v>0</v>
      </c>
      <c r="AA23" s="35"/>
      <c r="AB23" s="2">
        <f>IF(AJ23&gt;AJ21,1,0)+IF(AJ23&gt;AJ22,1,0)+IF(AJ23&gt;AJ23,1,0)+IF(AJ23&gt;AJ24,1,0)+1</f>
        <v>1</v>
      </c>
      <c r="AC23" s="1" t="s">
        <v>29</v>
      </c>
      <c r="AD23" s="3">
        <f>COUNTIF($S$7:$T$54,CONCATENATE(AC23,"_win"))</f>
        <v>0</v>
      </c>
      <c r="AE23" s="3">
        <f>COUNTIF($S$7:$T$54,CONCATENATE(AC23,"_draw"))</f>
        <v>0</v>
      </c>
      <c r="AF23" s="3">
        <f>COUNTIF($S$7:$T$54,CONCATENATE(AC23,"_lose"))</f>
        <v>3</v>
      </c>
      <c r="AG23" s="3">
        <f>SUMIF($O$7:$O$54,CONCATENATE("=",AC23),$P$7:$P$54)+SUMIF($K$7:$K$54,CONCATENATE("=",AC23),$L$7:$L$54)</f>
        <v>2</v>
      </c>
      <c r="AH23" s="3">
        <f>SUMIF($Q$7:$Q$54,CONCATENATE("=",AC23),$R$7:$R$54)+SUMIF($M$7:$M$54,CONCATENATE("=",AC23),$N$7:$N$54)</f>
        <v>10</v>
      </c>
      <c r="AI23" s="3">
        <f>AD23*3+AE23</f>
        <v>0</v>
      </c>
      <c r="AJ23" s="3">
        <f>0.2+AG23+(AG23-AH23)*100+AD23*1000+AI23*10000</f>
        <v>-797.8</v>
      </c>
    </row>
    <row r="24" spans="1:36" ht="12.75">
      <c r="A24" s="34"/>
      <c r="B24" s="30" t="s">
        <v>57</v>
      </c>
      <c r="C24" s="31">
        <v>0.75</v>
      </c>
      <c r="D24" s="32" t="s">
        <v>100</v>
      </c>
      <c r="E24" s="31" t="s">
        <v>79</v>
      </c>
      <c r="F24" s="29" t="str">
        <f>AC14</f>
        <v>England</v>
      </c>
      <c r="G24" s="33" t="str">
        <f>AC16</f>
        <v>Trinidad &amp; Tobago</v>
      </c>
      <c r="H24" s="71">
        <v>2</v>
      </c>
      <c r="I24" s="71">
        <v>0</v>
      </c>
      <c r="J24" s="38"/>
      <c r="K24" s="38" t="str">
        <f t="shared" si="10"/>
        <v>Ecuador</v>
      </c>
      <c r="L24" s="38">
        <f t="shared" si="11"/>
        <v>3</v>
      </c>
      <c r="M24" s="38" t="str">
        <f t="shared" si="12"/>
        <v>Ecuador</v>
      </c>
      <c r="N24" s="38">
        <f t="shared" si="13"/>
        <v>0</v>
      </c>
      <c r="O24" s="38" t="str">
        <f t="shared" si="14"/>
        <v>Costa Rica</v>
      </c>
      <c r="P24" s="38">
        <f t="shared" si="15"/>
        <v>0</v>
      </c>
      <c r="Q24" s="38" t="str">
        <f t="shared" si="16"/>
        <v>Costa Rica</v>
      </c>
      <c r="R24" s="38">
        <f t="shared" si="17"/>
        <v>3</v>
      </c>
      <c r="S24" s="38" t="str">
        <f t="shared" si="18"/>
        <v>Ecuador_win</v>
      </c>
      <c r="T24" s="38" t="str">
        <f t="shared" si="19"/>
        <v>Costa Rica_lose</v>
      </c>
      <c r="U24" s="12" t="s">
        <v>16</v>
      </c>
      <c r="V24" s="13"/>
      <c r="W24" s="13"/>
      <c r="X24" s="13"/>
      <c r="Y24" s="13"/>
      <c r="Z24" s="14"/>
      <c r="AA24" s="35"/>
      <c r="AB24" s="2">
        <f>IF(AJ24&gt;AJ21,1,0)+IF(AJ24&gt;AJ22,1,0)+IF(AJ24&gt;AJ23,1,0)+IF(AJ24&gt;AJ24,1,0)+1</f>
        <v>3</v>
      </c>
      <c r="AC24" s="1" t="s">
        <v>30</v>
      </c>
      <c r="AD24" s="3">
        <f>COUNTIF($S$7:$T$54,CONCATENATE(AC24,"_win"))</f>
        <v>2</v>
      </c>
      <c r="AE24" s="3">
        <f>COUNTIF($S$7:$T$54,CONCATENATE(AC24,"_draw"))</f>
        <v>1</v>
      </c>
      <c r="AF24" s="3">
        <f>COUNTIF($S$7:$T$54,CONCATENATE(AC24,"_lose"))</f>
        <v>0</v>
      </c>
      <c r="AG24" s="3">
        <f>SUMIF($O$7:$O$54,CONCATENATE("=",AC24),$P$7:$P$54)+SUMIF($K$7:$K$54,CONCATENATE("=",AC24),$L$7:$L$54)</f>
        <v>3</v>
      </c>
      <c r="AH24" s="3">
        <f>SUMIF($Q$7:$Q$54,CONCATENATE("=",AC24),$R$7:$R$54)+SUMIF($M$7:$M$54,CONCATENATE("=",AC24),$N$7:$N$54)</f>
        <v>1</v>
      </c>
      <c r="AI24" s="3">
        <f>AD24*3+AE24</f>
        <v>7</v>
      </c>
      <c r="AJ24" s="3">
        <f>0.1+AG24+(AG24-AH24)*100+AD24*1000+AI24*10000</f>
        <v>72203.1</v>
      </c>
    </row>
    <row r="25" spans="1:27" ht="12.75">
      <c r="A25" s="34"/>
      <c r="B25" s="30" t="s">
        <v>57</v>
      </c>
      <c r="C25" s="31">
        <v>0.875</v>
      </c>
      <c r="D25" s="32" t="s">
        <v>103</v>
      </c>
      <c r="E25" s="31" t="s">
        <v>79</v>
      </c>
      <c r="F25" s="29" t="str">
        <f>AC17</f>
        <v>Sweden</v>
      </c>
      <c r="G25" s="33" t="str">
        <f>AC15</f>
        <v>Paraguay</v>
      </c>
      <c r="H25" s="71">
        <v>1</v>
      </c>
      <c r="I25" s="71">
        <v>0</v>
      </c>
      <c r="J25" s="38"/>
      <c r="K25" s="38" t="str">
        <f t="shared" si="10"/>
        <v>England</v>
      </c>
      <c r="L25" s="38">
        <f t="shared" si="11"/>
        <v>2</v>
      </c>
      <c r="M25" s="38" t="str">
        <f t="shared" si="12"/>
        <v>England</v>
      </c>
      <c r="N25" s="38">
        <f t="shared" si="13"/>
        <v>0</v>
      </c>
      <c r="O25" s="38" t="str">
        <f t="shared" si="14"/>
        <v>Trinidad &amp; Tobago</v>
      </c>
      <c r="P25" s="38">
        <f t="shared" si="15"/>
        <v>0</v>
      </c>
      <c r="Q25" s="38" t="str">
        <f t="shared" si="16"/>
        <v>Trinidad &amp; Tobago</v>
      </c>
      <c r="R25" s="38">
        <f t="shared" si="17"/>
        <v>2</v>
      </c>
      <c r="S25" s="38" t="str">
        <f t="shared" si="18"/>
        <v>England_win</v>
      </c>
      <c r="T25" s="38" t="str">
        <f t="shared" si="19"/>
        <v>Trinidad &amp; Tobago_lose</v>
      </c>
      <c r="U25" s="39"/>
      <c r="V25" s="40" t="s">
        <v>1</v>
      </c>
      <c r="W25" s="40" t="s">
        <v>2</v>
      </c>
      <c r="X25" s="40" t="s">
        <v>3</v>
      </c>
      <c r="Y25" s="40" t="s">
        <v>4</v>
      </c>
      <c r="Z25" s="41" t="s">
        <v>5</v>
      </c>
      <c r="AA25" s="35"/>
    </row>
    <row r="26" spans="1:27" ht="12.75">
      <c r="A26" s="34"/>
      <c r="B26" s="30" t="s">
        <v>58</v>
      </c>
      <c r="C26" s="31">
        <v>0.625</v>
      </c>
      <c r="D26" s="32" t="s">
        <v>95</v>
      </c>
      <c r="E26" s="31" t="s">
        <v>80</v>
      </c>
      <c r="F26" s="29" t="str">
        <f>AC21</f>
        <v>Argentina</v>
      </c>
      <c r="G26" s="33" t="str">
        <f>AC23</f>
        <v>Serbia &amp; Montenegro</v>
      </c>
      <c r="H26" s="70">
        <v>6</v>
      </c>
      <c r="I26" s="71">
        <v>0</v>
      </c>
      <c r="J26" s="38"/>
      <c r="K26" s="38" t="str">
        <f t="shared" si="10"/>
        <v>Sweden</v>
      </c>
      <c r="L26" s="38">
        <f t="shared" si="11"/>
        <v>1</v>
      </c>
      <c r="M26" s="38" t="str">
        <f t="shared" si="12"/>
        <v>Sweden</v>
      </c>
      <c r="N26" s="38">
        <f t="shared" si="13"/>
        <v>0</v>
      </c>
      <c r="O26" s="38" t="str">
        <f t="shared" si="14"/>
        <v>Paraguay</v>
      </c>
      <c r="P26" s="38">
        <f t="shared" si="15"/>
        <v>0</v>
      </c>
      <c r="Q26" s="38" t="str">
        <f t="shared" si="16"/>
        <v>Paraguay</v>
      </c>
      <c r="R26" s="38">
        <f t="shared" si="17"/>
        <v>1</v>
      </c>
      <c r="S26" s="38" t="str">
        <f t="shared" si="18"/>
        <v>Sweden_win</v>
      </c>
      <c r="T26" s="38" t="str">
        <f t="shared" si="19"/>
        <v>Paraguay_lose</v>
      </c>
      <c r="U26" s="39" t="str">
        <f>VLOOKUP(4,AB28:AI31,2,FALSE)</f>
        <v>Portugal</v>
      </c>
      <c r="V26" s="37">
        <f>VLOOKUP(4,AB28:AI31,3,FALSE)</f>
        <v>3</v>
      </c>
      <c r="W26" s="37">
        <f>VLOOKUP(4,AB28:AI31,4,FALSE)</f>
        <v>0</v>
      </c>
      <c r="X26" s="37">
        <f>VLOOKUP(4,AB28:AI31,5,FALSE)</f>
        <v>0</v>
      </c>
      <c r="Y26" s="37" t="str">
        <f>CONCATENATE(VLOOKUP(4,AB28:AI31,6,FALSE)," - ",VLOOKUP(4,AB28:AI31,7,FALSE))</f>
        <v>5 - 1</v>
      </c>
      <c r="Z26" s="42">
        <f>VLOOKUP(4,AB28:AI31,8,FALSE)</f>
        <v>9</v>
      </c>
      <c r="AA26" s="35"/>
    </row>
    <row r="27" spans="1:27" ht="12.75">
      <c r="A27" s="34"/>
      <c r="B27" s="30" t="s">
        <v>58</v>
      </c>
      <c r="C27" s="31">
        <v>0.75</v>
      </c>
      <c r="D27" s="32" t="s">
        <v>105</v>
      </c>
      <c r="E27" s="31" t="s">
        <v>80</v>
      </c>
      <c r="F27" s="29" t="str">
        <f>AC24</f>
        <v>Netherlands</v>
      </c>
      <c r="G27" s="33" t="str">
        <f>AC22</f>
        <v>Côte d'Ivoire</v>
      </c>
      <c r="H27" s="71">
        <v>2</v>
      </c>
      <c r="I27" s="71">
        <v>1</v>
      </c>
      <c r="J27" s="38"/>
      <c r="K27" s="38" t="str">
        <f t="shared" si="10"/>
        <v>Argentina</v>
      </c>
      <c r="L27" s="38">
        <f t="shared" si="11"/>
        <v>6</v>
      </c>
      <c r="M27" s="38" t="str">
        <f t="shared" si="12"/>
        <v>Argentina</v>
      </c>
      <c r="N27" s="38">
        <f t="shared" si="13"/>
        <v>0</v>
      </c>
      <c r="O27" s="38" t="str">
        <f t="shared" si="14"/>
        <v>Serbia &amp; Montenegro</v>
      </c>
      <c r="P27" s="38">
        <f t="shared" si="15"/>
        <v>0</v>
      </c>
      <c r="Q27" s="38" t="str">
        <f t="shared" si="16"/>
        <v>Serbia &amp; Montenegro</v>
      </c>
      <c r="R27" s="38">
        <f t="shared" si="17"/>
        <v>6</v>
      </c>
      <c r="S27" s="38" t="str">
        <f t="shared" si="18"/>
        <v>Argentina_win</v>
      </c>
      <c r="T27" s="38" t="str">
        <f t="shared" si="19"/>
        <v>Serbia &amp; Montenegro_lose</v>
      </c>
      <c r="U27" s="39" t="str">
        <f>VLOOKUP(3,AB28:AI31,2,FALSE)</f>
        <v>Mexico</v>
      </c>
      <c r="V27" s="37">
        <f>VLOOKUP(3,AB28:AI31,3,FALSE)</f>
        <v>1</v>
      </c>
      <c r="W27" s="37">
        <f>VLOOKUP(3,AB28:AI31,4,FALSE)</f>
        <v>1</v>
      </c>
      <c r="X27" s="37">
        <f>VLOOKUP(3,AB28:AI31,5,FALSE)</f>
        <v>1</v>
      </c>
      <c r="Y27" s="37" t="str">
        <f>CONCATENATE(VLOOKUP(3,AB28:AI31,6,FALSE)," - ",VLOOKUP(3,AB28:AI31,7,FALSE))</f>
        <v>4 - 3</v>
      </c>
      <c r="Z27" s="42">
        <f>VLOOKUP(3,AB28:AI31,8,FALSE)</f>
        <v>4</v>
      </c>
      <c r="AA27" s="35"/>
    </row>
    <row r="28" spans="1:38" ht="12.75">
      <c r="A28" s="34"/>
      <c r="B28" s="30" t="s">
        <v>58</v>
      </c>
      <c r="C28" s="31">
        <v>0.875</v>
      </c>
      <c r="D28" s="32" t="s">
        <v>102</v>
      </c>
      <c r="E28" s="31" t="s">
        <v>2</v>
      </c>
      <c r="F28" s="29" t="str">
        <f>AC28</f>
        <v>Mexico</v>
      </c>
      <c r="G28" s="33" t="str">
        <f>AC30</f>
        <v>Angola</v>
      </c>
      <c r="H28" s="71">
        <v>0</v>
      </c>
      <c r="I28" s="71">
        <v>0</v>
      </c>
      <c r="J28" s="38"/>
      <c r="K28" s="38" t="str">
        <f t="shared" si="10"/>
        <v>Netherlands</v>
      </c>
      <c r="L28" s="38">
        <f t="shared" si="11"/>
        <v>2</v>
      </c>
      <c r="M28" s="38" t="str">
        <f t="shared" si="12"/>
        <v>Netherlands</v>
      </c>
      <c r="N28" s="38">
        <f t="shared" si="13"/>
        <v>1</v>
      </c>
      <c r="O28" s="38" t="str">
        <f t="shared" si="14"/>
        <v>Côte d'Ivoire</v>
      </c>
      <c r="P28" s="38">
        <f t="shared" si="15"/>
        <v>1</v>
      </c>
      <c r="Q28" s="38" t="str">
        <f t="shared" si="16"/>
        <v>Côte d'Ivoire</v>
      </c>
      <c r="R28" s="38">
        <f t="shared" si="17"/>
        <v>2</v>
      </c>
      <c r="S28" s="38" t="str">
        <f t="shared" si="18"/>
        <v>Netherlands_win</v>
      </c>
      <c r="T28" s="38" t="str">
        <f t="shared" si="19"/>
        <v>Côte d'Ivoire_lose</v>
      </c>
      <c r="U28" s="39" t="str">
        <f>VLOOKUP(2,AB28:AI31,2,FALSE)</f>
        <v>Angola</v>
      </c>
      <c r="V28" s="37">
        <f>VLOOKUP(2,AB28:AI31,3,FALSE)</f>
        <v>0</v>
      </c>
      <c r="W28" s="37">
        <f>VLOOKUP(2,AB28:AI31,4,FALSE)</f>
        <v>2</v>
      </c>
      <c r="X28" s="37">
        <f>VLOOKUP(2,AB28:AI31,5,FALSE)</f>
        <v>1</v>
      </c>
      <c r="Y28" s="37" t="str">
        <f>CONCATENATE(VLOOKUP(2,AB28:AI31,6,FALSE)," - ",VLOOKUP(2,AB28:AI31,7,FALSE))</f>
        <v>1 - 2</v>
      </c>
      <c r="Z28" s="42">
        <f>VLOOKUP(2,AB28:AI31,8,FALSE)</f>
        <v>2</v>
      </c>
      <c r="AA28" s="35"/>
      <c r="AB28" s="2">
        <f>IF(AJ28&gt;AJ28,1,0)+IF(AJ28&gt;AJ29,1,0)+IF(AJ28&gt;AJ30,1,0)+IF(AJ28&gt;AJ31,1,0)+1</f>
        <v>3</v>
      </c>
      <c r="AC28" s="1" t="s">
        <v>31</v>
      </c>
      <c r="AD28" s="3">
        <f>COUNTIF($S$7:$T$54,CONCATENATE(AC28,"_win"))</f>
        <v>1</v>
      </c>
      <c r="AE28" s="3">
        <f>COUNTIF($S$7:$T$54,CONCATENATE(AC28,"_draw"))</f>
        <v>1</v>
      </c>
      <c r="AF28" s="3">
        <f>COUNTIF($S$7:$T$54,CONCATENATE(AC28,"_lose"))</f>
        <v>1</v>
      </c>
      <c r="AG28" s="3">
        <f>SUMIF($O$7:$O$54,CONCATENATE("=",AC28),$P$7:$P$54)+SUMIF($K$7:$K$54,CONCATENATE("=",AC28),$L$7:$L$54)</f>
        <v>4</v>
      </c>
      <c r="AH28" s="3">
        <f>SUMIF($Q$7:$Q$54,CONCATENATE("=",AC28),$R$7:$R$54)+SUMIF($M$7:$M$54,CONCATENATE("=",AC28),$N$7:$N$54)</f>
        <v>3</v>
      </c>
      <c r="AI28" s="3">
        <f>AD28*3+AE28</f>
        <v>4</v>
      </c>
      <c r="AJ28" s="3">
        <f>0.4+AG28+(AG28-AH28)*100+AD28*1000+AI28*10000</f>
        <v>41104.4</v>
      </c>
      <c r="AL28" s="1" t="str">
        <f>IF(SUM(AD28:AF31)=12,U26,"Group D Winner")</f>
        <v>Portugal</v>
      </c>
    </row>
    <row r="29" spans="1:38" ht="12.75">
      <c r="A29" s="34"/>
      <c r="B29" s="30" t="s">
        <v>59</v>
      </c>
      <c r="C29" s="31">
        <v>0.625</v>
      </c>
      <c r="D29" s="32" t="s">
        <v>96</v>
      </c>
      <c r="E29" s="31" t="s">
        <v>2</v>
      </c>
      <c r="F29" s="29" t="str">
        <f>AC31</f>
        <v>Portugal</v>
      </c>
      <c r="G29" s="33" t="str">
        <f>AC29</f>
        <v>Iran</v>
      </c>
      <c r="H29" s="71">
        <v>2</v>
      </c>
      <c r="I29" s="71">
        <v>0</v>
      </c>
      <c r="J29" s="38"/>
      <c r="K29" s="38" t="str">
        <f t="shared" si="10"/>
        <v>Mexico</v>
      </c>
      <c r="L29" s="38">
        <f t="shared" si="11"/>
        <v>0</v>
      </c>
      <c r="M29" s="38" t="str">
        <f t="shared" si="12"/>
        <v>Mexico</v>
      </c>
      <c r="N29" s="38">
        <f t="shared" si="13"/>
        <v>0</v>
      </c>
      <c r="O29" s="38" t="str">
        <f t="shared" si="14"/>
        <v>Angola</v>
      </c>
      <c r="P29" s="38">
        <f t="shared" si="15"/>
        <v>0</v>
      </c>
      <c r="Q29" s="38" t="str">
        <f t="shared" si="16"/>
        <v>Angola</v>
      </c>
      <c r="R29" s="38">
        <f t="shared" si="17"/>
        <v>0</v>
      </c>
      <c r="S29" s="38" t="str">
        <f t="shared" si="18"/>
        <v>Mexico_draw</v>
      </c>
      <c r="T29" s="38" t="str">
        <f t="shared" si="19"/>
        <v>Angola_draw</v>
      </c>
      <c r="U29" s="43" t="str">
        <f>VLOOKUP(1,AB28:AI31,2,FALSE)</f>
        <v>Iran</v>
      </c>
      <c r="V29" s="44">
        <f>VLOOKUP(1,AB28:AI31,3,FALSE)</f>
        <v>0</v>
      </c>
      <c r="W29" s="44">
        <f>VLOOKUP(1,AB28:AI31,4,FALSE)</f>
        <v>1</v>
      </c>
      <c r="X29" s="44">
        <f>VLOOKUP(1,AB28:AI31,5,FALSE)</f>
        <v>2</v>
      </c>
      <c r="Y29" s="44" t="str">
        <f>CONCATENATE(VLOOKUP(1,AB28:AI31,6,FALSE)," - ",VLOOKUP(1,AB28:AI31,7,FALSE))</f>
        <v>2 - 6</v>
      </c>
      <c r="Z29" s="45">
        <f>VLOOKUP(1,AB28:AI31,8,FALSE)</f>
        <v>1</v>
      </c>
      <c r="AA29" s="35"/>
      <c r="AB29" s="2">
        <f>IF(AJ29&gt;AJ28,1,0)+IF(AJ29&gt;AJ29,1,0)+IF(AJ29&gt;AJ30,1,0)+IF(AJ29&gt;AJ31,1,0)+1</f>
        <v>1</v>
      </c>
      <c r="AC29" s="1" t="s">
        <v>32</v>
      </c>
      <c r="AD29" s="3">
        <f>COUNTIF($S$7:$T$54,CONCATENATE(AC29,"_win"))</f>
        <v>0</v>
      </c>
      <c r="AE29" s="3">
        <f>COUNTIF($S$7:$T$54,CONCATENATE(AC29,"_draw"))</f>
        <v>1</v>
      </c>
      <c r="AF29" s="3">
        <f>COUNTIF($S$7:$T$54,CONCATENATE(AC29,"_lose"))</f>
        <v>2</v>
      </c>
      <c r="AG29" s="3">
        <f>SUMIF($O$7:$O$54,CONCATENATE("=",AC29),$P$7:$P$54)+SUMIF($K$7:$K$54,CONCATENATE("=",AC29),$L$7:$L$54)</f>
        <v>2</v>
      </c>
      <c r="AH29" s="3">
        <f>SUMIF($Q$7:$Q$54,CONCATENATE("=",AC29),$R$7:$R$54)+SUMIF($M$7:$M$54,CONCATENATE("=",AC29),$N$7:$N$54)</f>
        <v>6</v>
      </c>
      <c r="AI29" s="3">
        <f>AD29*3+AE29</f>
        <v>1</v>
      </c>
      <c r="AJ29" s="3">
        <f>0.3+AG29+(AG29-AH29)*100+AD29*1000+AI29*10000</f>
        <v>9602.3</v>
      </c>
      <c r="AL29" s="1" t="str">
        <f>IF(SUM(AD28:AF31)=12,U27,"Group D Second place")</f>
        <v>Mexico</v>
      </c>
    </row>
    <row r="30" spans="1:36" ht="12.75">
      <c r="A30" s="34"/>
      <c r="B30" s="30" t="s">
        <v>59</v>
      </c>
      <c r="C30" s="31">
        <v>0.75</v>
      </c>
      <c r="D30" s="32" t="s">
        <v>104</v>
      </c>
      <c r="E30" s="31" t="s">
        <v>81</v>
      </c>
      <c r="F30" s="29" t="str">
        <f>AC35</f>
        <v>Italy</v>
      </c>
      <c r="G30" s="33" t="str">
        <f>AC37</f>
        <v>USA</v>
      </c>
      <c r="H30" s="71">
        <v>1</v>
      </c>
      <c r="I30" s="71">
        <v>1</v>
      </c>
      <c r="J30" s="38"/>
      <c r="K30" s="38" t="str">
        <f t="shared" si="10"/>
        <v>Portugal</v>
      </c>
      <c r="L30" s="38">
        <f t="shared" si="11"/>
        <v>2</v>
      </c>
      <c r="M30" s="38" t="str">
        <f t="shared" si="12"/>
        <v>Portugal</v>
      </c>
      <c r="N30" s="38">
        <f t="shared" si="13"/>
        <v>0</v>
      </c>
      <c r="O30" s="38" t="str">
        <f t="shared" si="14"/>
        <v>Iran</v>
      </c>
      <c r="P30" s="38">
        <f t="shared" si="15"/>
        <v>0</v>
      </c>
      <c r="Q30" s="38" t="str">
        <f t="shared" si="16"/>
        <v>Iran</v>
      </c>
      <c r="R30" s="38">
        <f t="shared" si="17"/>
        <v>2</v>
      </c>
      <c r="S30" s="38" t="str">
        <f t="shared" si="18"/>
        <v>Portugal_win</v>
      </c>
      <c r="T30" s="38" t="str">
        <f t="shared" si="19"/>
        <v>Iran_lose</v>
      </c>
      <c r="U30" s="12" t="s">
        <v>17</v>
      </c>
      <c r="V30" s="13"/>
      <c r="W30" s="13"/>
      <c r="X30" s="13"/>
      <c r="Y30" s="13"/>
      <c r="Z30" s="14"/>
      <c r="AA30" s="35"/>
      <c r="AB30" s="2">
        <f>IF(AJ30&gt;AJ28,1,0)+IF(AJ30&gt;AJ29,1,0)+IF(AJ30&gt;AJ30,1,0)+IF(AJ30&gt;AJ31,1,0)+1</f>
        <v>2</v>
      </c>
      <c r="AC30" s="1" t="s">
        <v>33</v>
      </c>
      <c r="AD30" s="3">
        <f>COUNTIF($S$7:$T$54,CONCATENATE(AC30,"_win"))</f>
        <v>0</v>
      </c>
      <c r="AE30" s="3">
        <f>COUNTIF($S$7:$T$54,CONCATENATE(AC30,"_draw"))</f>
        <v>2</v>
      </c>
      <c r="AF30" s="3">
        <f>COUNTIF($S$7:$T$54,CONCATENATE(AC30,"_lose"))</f>
        <v>1</v>
      </c>
      <c r="AG30" s="3">
        <f>SUMIF($O$7:$O$54,CONCATENATE("=",AC30),$P$7:$P$54)+SUMIF($K$7:$K$54,CONCATENATE("=",AC30),$L$7:$L$54)</f>
        <v>1</v>
      </c>
      <c r="AH30" s="3">
        <f>SUMIF($Q$7:$Q$54,CONCATENATE("=",AC30),$R$7:$R$54)+SUMIF($M$7:$M$54,CONCATENATE("=",AC30),$N$7:$N$54)</f>
        <v>2</v>
      </c>
      <c r="AI30" s="3">
        <f>AD30*3+AE30</f>
        <v>2</v>
      </c>
      <c r="AJ30" s="3">
        <f>0.2+AG30+(AG30-AH30)*100+AD30*1000+AI30*10000</f>
        <v>19901.2</v>
      </c>
    </row>
    <row r="31" spans="1:36" ht="12.75">
      <c r="A31" s="34"/>
      <c r="B31" s="30" t="s">
        <v>59</v>
      </c>
      <c r="C31" s="31">
        <v>0.875</v>
      </c>
      <c r="D31" s="32" t="s">
        <v>101</v>
      </c>
      <c r="E31" s="31" t="s">
        <v>81</v>
      </c>
      <c r="F31" s="29" t="str">
        <f>AC38</f>
        <v>Czech Republic</v>
      </c>
      <c r="G31" s="33" t="str">
        <f>AC36</f>
        <v>Ghana</v>
      </c>
      <c r="H31" s="71">
        <v>0</v>
      </c>
      <c r="I31" s="71">
        <v>2</v>
      </c>
      <c r="J31" s="38"/>
      <c r="K31" s="38" t="str">
        <f t="shared" si="10"/>
        <v>Italy</v>
      </c>
      <c r="L31" s="38">
        <f t="shared" si="11"/>
        <v>1</v>
      </c>
      <c r="M31" s="38" t="str">
        <f t="shared" si="12"/>
        <v>Italy</v>
      </c>
      <c r="N31" s="38">
        <f t="shared" si="13"/>
        <v>1</v>
      </c>
      <c r="O31" s="38" t="str">
        <f t="shared" si="14"/>
        <v>USA</v>
      </c>
      <c r="P31" s="38">
        <f t="shared" si="15"/>
        <v>1</v>
      </c>
      <c r="Q31" s="38" t="str">
        <f t="shared" si="16"/>
        <v>USA</v>
      </c>
      <c r="R31" s="38">
        <f t="shared" si="17"/>
        <v>1</v>
      </c>
      <c r="S31" s="38" t="str">
        <f t="shared" si="18"/>
        <v>Italy_draw</v>
      </c>
      <c r="T31" s="38" t="str">
        <f t="shared" si="19"/>
        <v>USA_draw</v>
      </c>
      <c r="U31" s="39"/>
      <c r="V31" s="40" t="s">
        <v>1</v>
      </c>
      <c r="W31" s="40" t="s">
        <v>2</v>
      </c>
      <c r="X31" s="40" t="s">
        <v>3</v>
      </c>
      <c r="Y31" s="40" t="s">
        <v>4</v>
      </c>
      <c r="Z31" s="41" t="s">
        <v>5</v>
      </c>
      <c r="AA31" s="35"/>
      <c r="AB31" s="2">
        <f>IF(AJ31&gt;AJ28,1,0)+IF(AJ31&gt;AJ29,1,0)+IF(AJ31&gt;AJ30,1,0)+IF(AJ31&gt;AJ31,1,0)+1</f>
        <v>4</v>
      </c>
      <c r="AC31" s="1" t="s">
        <v>34</v>
      </c>
      <c r="AD31" s="3">
        <f>COUNTIF($S$7:$T$54,CONCATENATE(AC31,"_win"))</f>
        <v>3</v>
      </c>
      <c r="AE31" s="3">
        <f>COUNTIF($S$7:$T$54,CONCATENATE(AC31,"_draw"))</f>
        <v>0</v>
      </c>
      <c r="AF31" s="3">
        <f>COUNTIF($S$7:$T$54,CONCATENATE(AC31,"_lose"))</f>
        <v>0</v>
      </c>
      <c r="AG31" s="3">
        <f>SUMIF($O$7:$O$54,CONCATENATE("=",AC31),$P$7:$P$54)+SUMIF($K$7:$K$54,CONCATENATE("=",AC31),$L$7:$L$54)</f>
        <v>5</v>
      </c>
      <c r="AH31" s="3">
        <f>SUMIF($Q$7:$Q$54,CONCATENATE("=",AC31),$R$7:$R$54)+SUMIF($M$7:$M$54,CONCATENATE("=",AC31),$N$7:$N$54)</f>
        <v>1</v>
      </c>
      <c r="AI31" s="3">
        <f>AD31*3+AE31</f>
        <v>9</v>
      </c>
      <c r="AJ31" s="3">
        <f>0.1+AG31+(AG31-AH31)*100+AD31*1000+AI31*10000</f>
        <v>93405.1</v>
      </c>
    </row>
    <row r="32" spans="1:27" ht="12.75">
      <c r="A32" s="34"/>
      <c r="B32" s="30" t="s">
        <v>60</v>
      </c>
      <c r="C32" s="31">
        <v>0.625</v>
      </c>
      <c r="D32" s="32" t="s">
        <v>94</v>
      </c>
      <c r="E32" s="31" t="s">
        <v>10</v>
      </c>
      <c r="F32" s="29" t="str">
        <f>AC42</f>
        <v>Brazil</v>
      </c>
      <c r="G32" s="33" t="str">
        <f>AC44</f>
        <v>Australia</v>
      </c>
      <c r="H32" s="71">
        <v>2</v>
      </c>
      <c r="I32" s="71">
        <v>0</v>
      </c>
      <c r="J32" s="38"/>
      <c r="K32" s="38" t="str">
        <f t="shared" si="10"/>
        <v>Czech Republic</v>
      </c>
      <c r="L32" s="38">
        <f t="shared" si="11"/>
        <v>0</v>
      </c>
      <c r="M32" s="38" t="str">
        <f t="shared" si="12"/>
        <v>Czech Republic</v>
      </c>
      <c r="N32" s="38">
        <f t="shared" si="13"/>
        <v>2</v>
      </c>
      <c r="O32" s="38" t="str">
        <f t="shared" si="14"/>
        <v>Ghana</v>
      </c>
      <c r="P32" s="38">
        <f t="shared" si="15"/>
        <v>2</v>
      </c>
      <c r="Q32" s="38" t="str">
        <f t="shared" si="16"/>
        <v>Ghana</v>
      </c>
      <c r="R32" s="38">
        <f t="shared" si="17"/>
        <v>0</v>
      </c>
      <c r="S32" s="38" t="str">
        <f t="shared" si="18"/>
        <v>Czech Republic_lose</v>
      </c>
      <c r="T32" s="38" t="str">
        <f t="shared" si="19"/>
        <v>Ghana_win</v>
      </c>
      <c r="U32" s="39" t="str">
        <f>VLOOKUP(4,AB35:AI38,2,FALSE)</f>
        <v>Italy</v>
      </c>
      <c r="V32" s="37">
        <f>VLOOKUP(4,AB35:AI38,3,FALSE)</f>
        <v>2</v>
      </c>
      <c r="W32" s="37">
        <f>VLOOKUP(4,AB35:AI38,4,FALSE)</f>
        <v>1</v>
      </c>
      <c r="X32" s="37">
        <f>VLOOKUP(4,AB35:AI38,5,FALSE)</f>
        <v>0</v>
      </c>
      <c r="Y32" s="37" t="str">
        <f>CONCATENATE(VLOOKUP(4,AB35:AI38,6,FALSE)," - ",VLOOKUP(4,AB35:AI38,7,FALSE))</f>
        <v>5 - 1</v>
      </c>
      <c r="Z32" s="42">
        <f>VLOOKUP(4,AB35:AI38,8,FALSE)</f>
        <v>7</v>
      </c>
      <c r="AA32" s="35"/>
    </row>
    <row r="33" spans="1:27" ht="12.75">
      <c r="A33" s="34"/>
      <c r="B33" s="30" t="s">
        <v>60</v>
      </c>
      <c r="C33" s="31">
        <v>0.75</v>
      </c>
      <c r="D33" s="32" t="s">
        <v>100</v>
      </c>
      <c r="E33" s="31" t="s">
        <v>10</v>
      </c>
      <c r="F33" s="29" t="str">
        <f>AC45</f>
        <v>Japan</v>
      </c>
      <c r="G33" s="33" t="str">
        <f>AC43</f>
        <v>Croatia</v>
      </c>
      <c r="H33" s="71">
        <v>0</v>
      </c>
      <c r="I33" s="71">
        <v>0</v>
      </c>
      <c r="J33" s="38"/>
      <c r="K33" s="38" t="str">
        <f t="shared" si="10"/>
        <v>Brazil</v>
      </c>
      <c r="L33" s="38">
        <f t="shared" si="11"/>
        <v>2</v>
      </c>
      <c r="M33" s="38" t="str">
        <f t="shared" si="12"/>
        <v>Brazil</v>
      </c>
      <c r="N33" s="38">
        <f t="shared" si="13"/>
        <v>0</v>
      </c>
      <c r="O33" s="38" t="str">
        <f t="shared" si="14"/>
        <v>Australia</v>
      </c>
      <c r="P33" s="38">
        <f t="shared" si="15"/>
        <v>0</v>
      </c>
      <c r="Q33" s="38" t="str">
        <f t="shared" si="16"/>
        <v>Australia</v>
      </c>
      <c r="R33" s="38">
        <f t="shared" si="17"/>
        <v>2</v>
      </c>
      <c r="S33" s="38" t="str">
        <f t="shared" si="18"/>
        <v>Brazil_win</v>
      </c>
      <c r="T33" s="38" t="str">
        <f t="shared" si="19"/>
        <v>Australia_lose</v>
      </c>
      <c r="U33" s="39" t="str">
        <f>VLOOKUP(3,AB35:AI38,2,FALSE)</f>
        <v>Ghana</v>
      </c>
      <c r="V33" s="37">
        <f>VLOOKUP(3,AB35:AI38,3,FALSE)</f>
        <v>2</v>
      </c>
      <c r="W33" s="37">
        <f>VLOOKUP(3,AB35:AI38,4,FALSE)</f>
        <v>0</v>
      </c>
      <c r="X33" s="37">
        <f>VLOOKUP(3,AB35:AI38,5,FALSE)</f>
        <v>1</v>
      </c>
      <c r="Y33" s="37" t="str">
        <f>CONCATENATE(VLOOKUP(3,AB35:AI38,6,FALSE)," - ",VLOOKUP(3,AB35:AI38,7,FALSE))</f>
        <v>4 - 3</v>
      </c>
      <c r="Z33" s="42">
        <f>VLOOKUP(3,AB35:AI38,8,FALSE)</f>
        <v>6</v>
      </c>
      <c r="AA33" s="35"/>
    </row>
    <row r="34" spans="1:27" ht="12.75">
      <c r="A34" s="34"/>
      <c r="B34" s="30" t="s">
        <v>60</v>
      </c>
      <c r="C34" s="31">
        <v>0.875</v>
      </c>
      <c r="D34" s="32" t="s">
        <v>99</v>
      </c>
      <c r="E34" s="31" t="s">
        <v>82</v>
      </c>
      <c r="F34" s="29" t="str">
        <f>AC49</f>
        <v>France</v>
      </c>
      <c r="G34" s="33" t="str">
        <f>AC51</f>
        <v>Korea Republic</v>
      </c>
      <c r="H34" s="71">
        <v>1</v>
      </c>
      <c r="I34" s="71">
        <v>1</v>
      </c>
      <c r="J34" s="38"/>
      <c r="K34" s="38" t="str">
        <f t="shared" si="10"/>
        <v>Japan</v>
      </c>
      <c r="L34" s="38">
        <f t="shared" si="11"/>
        <v>0</v>
      </c>
      <c r="M34" s="38" t="str">
        <f t="shared" si="12"/>
        <v>Japan</v>
      </c>
      <c r="N34" s="38">
        <f t="shared" si="13"/>
        <v>0</v>
      </c>
      <c r="O34" s="38" t="str">
        <f t="shared" si="14"/>
        <v>Croatia</v>
      </c>
      <c r="P34" s="38">
        <f t="shared" si="15"/>
        <v>0</v>
      </c>
      <c r="Q34" s="38" t="str">
        <f t="shared" si="16"/>
        <v>Croatia</v>
      </c>
      <c r="R34" s="38">
        <f t="shared" si="17"/>
        <v>0</v>
      </c>
      <c r="S34" s="38" t="str">
        <f t="shared" si="18"/>
        <v>Japan_draw</v>
      </c>
      <c r="T34" s="38" t="str">
        <f t="shared" si="19"/>
        <v>Croatia_draw</v>
      </c>
      <c r="U34" s="39" t="str">
        <f>VLOOKUP(2,AB35:AI38,2,FALSE)</f>
        <v>Czech Republic</v>
      </c>
      <c r="V34" s="37">
        <f>VLOOKUP(2,AB35:AI38,3,FALSE)</f>
        <v>1</v>
      </c>
      <c r="W34" s="37">
        <f>VLOOKUP(2,AB35:AI38,4,FALSE)</f>
        <v>0</v>
      </c>
      <c r="X34" s="37">
        <f>VLOOKUP(2,AB35:AI38,5,FALSE)</f>
        <v>2</v>
      </c>
      <c r="Y34" s="37" t="str">
        <f>CONCATENATE(VLOOKUP(2,AB35:AI38,6,FALSE)," - ",VLOOKUP(2,AB35:AI38,7,FALSE))</f>
        <v>3 - 4</v>
      </c>
      <c r="Z34" s="42">
        <f>VLOOKUP(2,AB35:AI38,8,FALSE)</f>
        <v>3</v>
      </c>
      <c r="AA34" s="35"/>
    </row>
    <row r="35" spans="1:38" ht="12.75">
      <c r="A35" s="34"/>
      <c r="B35" s="30" t="s">
        <v>61</v>
      </c>
      <c r="C35" s="31">
        <v>0.625</v>
      </c>
      <c r="D35" s="32" t="s">
        <v>97</v>
      </c>
      <c r="E35" s="31" t="s">
        <v>82</v>
      </c>
      <c r="F35" s="29" t="str">
        <f>AC52</f>
        <v>Togo</v>
      </c>
      <c r="G35" s="33" t="str">
        <f>AC50</f>
        <v>Switzerland</v>
      </c>
      <c r="H35" s="71">
        <v>0</v>
      </c>
      <c r="I35" s="71">
        <v>2</v>
      </c>
      <c r="J35" s="38"/>
      <c r="K35" s="38" t="str">
        <f t="shared" si="10"/>
        <v>France</v>
      </c>
      <c r="L35" s="38">
        <f t="shared" si="11"/>
        <v>1</v>
      </c>
      <c r="M35" s="38" t="str">
        <f t="shared" si="12"/>
        <v>France</v>
      </c>
      <c r="N35" s="38">
        <f t="shared" si="13"/>
        <v>1</v>
      </c>
      <c r="O35" s="38" t="str">
        <f t="shared" si="14"/>
        <v>Korea Republic</v>
      </c>
      <c r="P35" s="38">
        <f t="shared" si="15"/>
        <v>1</v>
      </c>
      <c r="Q35" s="38" t="str">
        <f t="shared" si="16"/>
        <v>Korea Republic</v>
      </c>
      <c r="R35" s="38">
        <f t="shared" si="17"/>
        <v>1</v>
      </c>
      <c r="S35" s="38" t="str">
        <f t="shared" si="18"/>
        <v>France_draw</v>
      </c>
      <c r="T35" s="38" t="str">
        <f t="shared" si="19"/>
        <v>Korea Republic_draw</v>
      </c>
      <c r="U35" s="43" t="str">
        <f>VLOOKUP(1,AB35:AI38,2,FALSE)</f>
        <v>USA</v>
      </c>
      <c r="V35" s="44">
        <f>VLOOKUP(1,AB35:AI38,3,FALSE)</f>
        <v>0</v>
      </c>
      <c r="W35" s="44">
        <f>VLOOKUP(1,AB35:AI38,4,FALSE)</f>
        <v>1</v>
      </c>
      <c r="X35" s="44">
        <f>VLOOKUP(1,AB35:AI38,5,FALSE)</f>
        <v>2</v>
      </c>
      <c r="Y35" s="44" t="str">
        <f>CONCATENATE(VLOOKUP(1,AB35:AI38,6,FALSE)," - ",VLOOKUP(1,AB35:AI38,7,FALSE))</f>
        <v>2 - 6</v>
      </c>
      <c r="Z35" s="45">
        <f>VLOOKUP(1,AB35:AI38,8,FALSE)</f>
        <v>1</v>
      </c>
      <c r="AA35" s="35"/>
      <c r="AB35" s="2">
        <f>IF(AJ35&gt;AJ35,1,0)+IF(AJ35&gt;AJ36,1,0)+IF(AJ35&gt;AJ37,1,0)+IF(AJ35&gt;AJ38,1,0)+1</f>
        <v>4</v>
      </c>
      <c r="AC35" s="1" t="s">
        <v>35</v>
      </c>
      <c r="AD35" s="3">
        <f>COUNTIF($S$7:$T$54,CONCATENATE(AC35,"_win"))</f>
        <v>2</v>
      </c>
      <c r="AE35" s="3">
        <f>COUNTIF($S$7:$T$54,CONCATENATE(AC35,"_draw"))</f>
        <v>1</v>
      </c>
      <c r="AF35" s="3">
        <f>COUNTIF($S$7:$T$54,CONCATENATE(AC35,"_lose"))</f>
        <v>0</v>
      </c>
      <c r="AG35" s="3">
        <f>SUMIF($O$7:$O$54,CONCATENATE("=",AC35),$P$7:$P$54)+SUMIF($K$7:$K$54,CONCATENATE("=",AC35),$L$7:$L$54)</f>
        <v>5</v>
      </c>
      <c r="AH35" s="3">
        <f>SUMIF($Q$7:$Q$54,CONCATENATE("=",AC35),$R$7:$R$54)+SUMIF($M$7:$M$54,CONCATENATE("=",AC35),$N$7:$N$54)</f>
        <v>1</v>
      </c>
      <c r="AI35" s="3">
        <f>AD35*3+AE35</f>
        <v>7</v>
      </c>
      <c r="AJ35" s="3">
        <f>0.4+AG35+(AG35-AH35)*100+AD35*1000+AI35*10000</f>
        <v>72405.4</v>
      </c>
      <c r="AL35" s="1" t="str">
        <f>IF(SUM(AD35:AF38)=12,U32,"Group E Winner")</f>
        <v>Italy</v>
      </c>
    </row>
    <row r="36" spans="1:38" ht="12.75">
      <c r="A36" s="34"/>
      <c r="B36" s="30" t="s">
        <v>61</v>
      </c>
      <c r="C36" s="31">
        <v>0.75</v>
      </c>
      <c r="D36" s="32" t="s">
        <v>105</v>
      </c>
      <c r="E36" s="31" t="s">
        <v>83</v>
      </c>
      <c r="F36" s="29" t="str">
        <f>AC56</f>
        <v>Spain</v>
      </c>
      <c r="G36" s="33" t="str">
        <f>AC58</f>
        <v>Tunisia</v>
      </c>
      <c r="H36" s="71">
        <v>3</v>
      </c>
      <c r="I36" s="71">
        <v>1</v>
      </c>
      <c r="J36" s="38"/>
      <c r="K36" s="38" t="str">
        <f t="shared" si="10"/>
        <v>Togo</v>
      </c>
      <c r="L36" s="38">
        <f t="shared" si="11"/>
        <v>0</v>
      </c>
      <c r="M36" s="38" t="str">
        <f t="shared" si="12"/>
        <v>Togo</v>
      </c>
      <c r="N36" s="38">
        <f t="shared" si="13"/>
        <v>2</v>
      </c>
      <c r="O36" s="38" t="str">
        <f t="shared" si="14"/>
        <v>Switzerland</v>
      </c>
      <c r="P36" s="38">
        <f t="shared" si="15"/>
        <v>2</v>
      </c>
      <c r="Q36" s="38" t="str">
        <f t="shared" si="16"/>
        <v>Switzerland</v>
      </c>
      <c r="R36" s="38">
        <f t="shared" si="17"/>
        <v>0</v>
      </c>
      <c r="S36" s="38" t="str">
        <f t="shared" si="18"/>
        <v>Togo_lose</v>
      </c>
      <c r="T36" s="38" t="str">
        <f t="shared" si="19"/>
        <v>Switzerland_win</v>
      </c>
      <c r="U36" s="12" t="s">
        <v>18</v>
      </c>
      <c r="V36" s="13"/>
      <c r="W36" s="13"/>
      <c r="X36" s="13"/>
      <c r="Y36" s="13"/>
      <c r="Z36" s="14"/>
      <c r="AA36" s="35"/>
      <c r="AB36" s="2">
        <f>IF(AJ36&gt;AJ35,1,0)+IF(AJ36&gt;AJ36,1,0)+IF(AJ36&gt;AJ37,1,0)+IF(AJ36&gt;AJ38,1,0)+1</f>
        <v>3</v>
      </c>
      <c r="AC36" s="1" t="s">
        <v>36</v>
      </c>
      <c r="AD36" s="3">
        <f>COUNTIF($S$7:$T$54,CONCATENATE(AC36,"_win"))</f>
        <v>2</v>
      </c>
      <c r="AE36" s="3">
        <f>COUNTIF($S$7:$T$54,CONCATENATE(AC36,"_draw"))</f>
        <v>0</v>
      </c>
      <c r="AF36" s="3">
        <f>COUNTIF($S$7:$T$54,CONCATENATE(AC36,"_lose"))</f>
        <v>1</v>
      </c>
      <c r="AG36" s="3">
        <f>SUMIF($O$7:$O$54,CONCATENATE("=",AC36),$P$7:$P$54)+SUMIF($K$7:$K$54,CONCATENATE("=",AC36),$L$7:$L$54)</f>
        <v>4</v>
      </c>
      <c r="AH36" s="3">
        <f>SUMIF($Q$7:$Q$54,CONCATENATE("=",AC36),$R$7:$R$54)+SUMIF($M$7:$M$54,CONCATENATE("=",AC36),$N$7:$N$54)</f>
        <v>3</v>
      </c>
      <c r="AI36" s="3">
        <f>AD36*3+AE36</f>
        <v>6</v>
      </c>
      <c r="AJ36" s="3">
        <f>0.3+AG36+(AG36-AH36)*100+AD36*1000+AI36*10000</f>
        <v>62104.3</v>
      </c>
      <c r="AL36" s="1" t="str">
        <f>IF(SUM(AD35:AF38)=12,U33,"Group E Second place")</f>
        <v>Ghana</v>
      </c>
    </row>
    <row r="37" spans="1:36" ht="12.75">
      <c r="A37" s="34"/>
      <c r="B37" s="30" t="s">
        <v>61</v>
      </c>
      <c r="C37" s="31">
        <v>0.875</v>
      </c>
      <c r="D37" s="32" t="s">
        <v>98</v>
      </c>
      <c r="E37" s="31" t="s">
        <v>83</v>
      </c>
      <c r="F37" s="29" t="str">
        <f>AC59</f>
        <v>Saudi Arabia</v>
      </c>
      <c r="G37" s="33" t="str">
        <f>AC57</f>
        <v>Ukraine</v>
      </c>
      <c r="H37" s="71">
        <v>0</v>
      </c>
      <c r="I37" s="71">
        <v>4</v>
      </c>
      <c r="J37" s="38"/>
      <c r="K37" s="38" t="str">
        <f t="shared" si="10"/>
        <v>Spain</v>
      </c>
      <c r="L37" s="38">
        <f t="shared" si="11"/>
        <v>3</v>
      </c>
      <c r="M37" s="38" t="str">
        <f t="shared" si="12"/>
        <v>Spain</v>
      </c>
      <c r="N37" s="38">
        <f t="shared" si="13"/>
        <v>1</v>
      </c>
      <c r="O37" s="38" t="str">
        <f t="shared" si="14"/>
        <v>Tunisia</v>
      </c>
      <c r="P37" s="38">
        <f t="shared" si="15"/>
        <v>1</v>
      </c>
      <c r="Q37" s="38" t="str">
        <f t="shared" si="16"/>
        <v>Tunisia</v>
      </c>
      <c r="R37" s="38">
        <f t="shared" si="17"/>
        <v>3</v>
      </c>
      <c r="S37" s="38" t="str">
        <f t="shared" si="18"/>
        <v>Spain_win</v>
      </c>
      <c r="T37" s="38" t="str">
        <f t="shared" si="19"/>
        <v>Tunisia_lose</v>
      </c>
      <c r="U37" s="39"/>
      <c r="V37" s="40" t="s">
        <v>1</v>
      </c>
      <c r="W37" s="40" t="s">
        <v>2</v>
      </c>
      <c r="X37" s="40" t="s">
        <v>3</v>
      </c>
      <c r="Y37" s="40" t="s">
        <v>4</v>
      </c>
      <c r="Z37" s="41" t="s">
        <v>5</v>
      </c>
      <c r="AA37" s="35"/>
      <c r="AB37" s="2">
        <f>IF(AJ37&gt;AJ35,1,0)+IF(AJ37&gt;AJ36,1,0)+IF(AJ37&gt;AJ37,1,0)+IF(AJ37&gt;AJ38,1,0)+1</f>
        <v>1</v>
      </c>
      <c r="AC37" s="1" t="s">
        <v>37</v>
      </c>
      <c r="AD37" s="3">
        <f>COUNTIF($S$7:$T$54,CONCATENATE(AC37,"_win"))</f>
        <v>0</v>
      </c>
      <c r="AE37" s="3">
        <f>COUNTIF($S$7:$T$54,CONCATENATE(AC37,"_draw"))</f>
        <v>1</v>
      </c>
      <c r="AF37" s="3">
        <f>COUNTIF($S$7:$T$54,CONCATENATE(AC37,"_lose"))</f>
        <v>2</v>
      </c>
      <c r="AG37" s="3">
        <f>SUMIF($O$7:$O$54,CONCATENATE("=",AC37),$P$7:$P$54)+SUMIF($K$7:$K$54,CONCATENATE("=",AC37),$L$7:$L$54)</f>
        <v>2</v>
      </c>
      <c r="AH37" s="3">
        <f>SUMIF($Q$7:$Q$54,CONCATENATE("=",AC37),$R$7:$R$54)+SUMIF($M$7:$M$54,CONCATENATE("=",AC37),$N$7:$N$54)</f>
        <v>6</v>
      </c>
      <c r="AI37" s="3">
        <f>AD37*3+AE37</f>
        <v>1</v>
      </c>
      <c r="AJ37" s="3">
        <f>0.2+AG37+(AG37-AH37)*100+AD37*1000+AI37*10000</f>
        <v>9602.2</v>
      </c>
    </row>
    <row r="38" spans="1:36" ht="12.75">
      <c r="A38" s="34"/>
      <c r="B38" s="30" t="s">
        <v>62</v>
      </c>
      <c r="C38" s="31">
        <v>0.6666666666666666</v>
      </c>
      <c r="D38" s="32" t="s">
        <v>103</v>
      </c>
      <c r="E38" s="31" t="s">
        <v>11</v>
      </c>
      <c r="F38" s="29" t="str">
        <f>AC10</f>
        <v>Ecuador</v>
      </c>
      <c r="G38" s="33" t="str">
        <f>AC7</f>
        <v>Germany</v>
      </c>
      <c r="H38" s="71">
        <v>0</v>
      </c>
      <c r="I38" s="71">
        <v>3</v>
      </c>
      <c r="J38" s="38"/>
      <c r="K38" s="38" t="str">
        <f t="shared" si="10"/>
        <v>Saudi Arabia</v>
      </c>
      <c r="L38" s="38">
        <f t="shared" si="11"/>
        <v>0</v>
      </c>
      <c r="M38" s="38" t="str">
        <f t="shared" si="12"/>
        <v>Saudi Arabia</v>
      </c>
      <c r="N38" s="38">
        <f t="shared" si="13"/>
        <v>4</v>
      </c>
      <c r="O38" s="38" t="str">
        <f t="shared" si="14"/>
        <v>Ukraine</v>
      </c>
      <c r="P38" s="38">
        <f t="shared" si="15"/>
        <v>4</v>
      </c>
      <c r="Q38" s="38" t="str">
        <f t="shared" si="16"/>
        <v>Ukraine</v>
      </c>
      <c r="R38" s="38">
        <f t="shared" si="17"/>
        <v>0</v>
      </c>
      <c r="S38" s="38" t="str">
        <f t="shared" si="18"/>
        <v>Saudi Arabia_lose</v>
      </c>
      <c r="T38" s="38" t="str">
        <f t="shared" si="19"/>
        <v>Ukraine_win</v>
      </c>
      <c r="U38" s="39" t="str">
        <f>VLOOKUP(4,AB42:AI45,2,FALSE)</f>
        <v>Brazil</v>
      </c>
      <c r="V38" s="37">
        <f>VLOOKUP(4,AB42:AI45,3,FALSE)</f>
        <v>3</v>
      </c>
      <c r="W38" s="37">
        <f>VLOOKUP(4,AB42:AI45,4,FALSE)</f>
        <v>0</v>
      </c>
      <c r="X38" s="37">
        <f>VLOOKUP(4,AB42:AI45,5,FALSE)</f>
        <v>0</v>
      </c>
      <c r="Y38" s="37" t="str">
        <f>CONCATENATE(VLOOKUP(4,AB42:AI45,6,FALSE)," - ",VLOOKUP(4,AB42:AI45,7,FALSE))</f>
        <v>7 - 1</v>
      </c>
      <c r="Z38" s="42">
        <f>VLOOKUP(4,AB42:AI45,8,FALSE)</f>
        <v>9</v>
      </c>
      <c r="AA38" s="35"/>
      <c r="AB38" s="2">
        <f>IF(AJ38&gt;AJ35,1,0)+IF(AJ38&gt;AJ36,1,0)+IF(AJ38&gt;AJ37,1,0)+IF(AJ38&gt;AJ38,1,0)+1</f>
        <v>2</v>
      </c>
      <c r="AC38" s="1" t="s">
        <v>38</v>
      </c>
      <c r="AD38" s="3">
        <f>COUNTIF($S$7:$T$54,CONCATENATE(AC38,"_win"))</f>
        <v>1</v>
      </c>
      <c r="AE38" s="3">
        <f>COUNTIF($S$7:$T$54,CONCATENATE(AC38,"_draw"))</f>
        <v>0</v>
      </c>
      <c r="AF38" s="3">
        <f>COUNTIF($S$7:$T$54,CONCATENATE(AC38,"_lose"))</f>
        <v>2</v>
      </c>
      <c r="AG38" s="3">
        <f>SUMIF($O$7:$O$54,CONCATENATE("=",AC38),$P$7:$P$54)+SUMIF($K$7:$K$54,CONCATENATE("=",AC38),$L$7:$L$54)</f>
        <v>3</v>
      </c>
      <c r="AH38" s="3">
        <f>SUMIF($Q$7:$Q$54,CONCATENATE("=",AC38),$R$7:$R$54)+SUMIF($M$7:$M$54,CONCATENATE("=",AC38),$N$7:$N$54)</f>
        <v>4</v>
      </c>
      <c r="AI38" s="3">
        <f>AD38*3+AE38</f>
        <v>3</v>
      </c>
      <c r="AJ38" s="3">
        <f>0.1+AG38+(AG38-AH38)*100+AD38*1000+AI38*10000</f>
        <v>30903.1</v>
      </c>
    </row>
    <row r="39" spans="1:27" ht="12.75">
      <c r="A39" s="34"/>
      <c r="B39" s="30" t="s">
        <v>62</v>
      </c>
      <c r="C39" s="31">
        <v>0.6666666666666666</v>
      </c>
      <c r="D39" s="32" t="s">
        <v>102</v>
      </c>
      <c r="E39" s="31" t="s">
        <v>11</v>
      </c>
      <c r="F39" s="29" t="str">
        <f>AC8</f>
        <v>Costa Rica</v>
      </c>
      <c r="G39" s="33" t="str">
        <f>AC9</f>
        <v>Poland</v>
      </c>
      <c r="H39" s="71">
        <v>1</v>
      </c>
      <c r="I39" s="71">
        <v>2</v>
      </c>
      <c r="J39" s="38"/>
      <c r="K39" s="38" t="str">
        <f t="shared" si="10"/>
        <v>Ecuador</v>
      </c>
      <c r="L39" s="38">
        <f t="shared" si="11"/>
        <v>0</v>
      </c>
      <c r="M39" s="38" t="str">
        <f t="shared" si="12"/>
        <v>Ecuador</v>
      </c>
      <c r="N39" s="38">
        <f t="shared" si="13"/>
        <v>3</v>
      </c>
      <c r="O39" s="38" t="str">
        <f t="shared" si="14"/>
        <v>Germany</v>
      </c>
      <c r="P39" s="38">
        <f t="shared" si="15"/>
        <v>3</v>
      </c>
      <c r="Q39" s="38" t="str">
        <f t="shared" si="16"/>
        <v>Germany</v>
      </c>
      <c r="R39" s="38">
        <f t="shared" si="17"/>
        <v>0</v>
      </c>
      <c r="S39" s="38" t="str">
        <f t="shared" si="18"/>
        <v>Ecuador_lose</v>
      </c>
      <c r="T39" s="38" t="str">
        <f t="shared" si="19"/>
        <v>Germany_win</v>
      </c>
      <c r="U39" s="39" t="str">
        <f>VLOOKUP(3,AB42:AI45,2,FALSE)</f>
        <v>Australia</v>
      </c>
      <c r="V39" s="37">
        <f>VLOOKUP(3,AB42:AI45,3,FALSE)</f>
        <v>1</v>
      </c>
      <c r="W39" s="37">
        <f>VLOOKUP(3,AB42:AI45,4,FALSE)</f>
        <v>1</v>
      </c>
      <c r="X39" s="37">
        <f>VLOOKUP(3,AB42:AI45,5,FALSE)</f>
        <v>1</v>
      </c>
      <c r="Y39" s="37" t="str">
        <f>CONCATENATE(VLOOKUP(3,AB42:AI45,6,FALSE)," - ",VLOOKUP(3,AB42:AI45,7,FALSE))</f>
        <v>5 - 5</v>
      </c>
      <c r="Z39" s="42">
        <f>VLOOKUP(3,AB42:AI45,8,FALSE)</f>
        <v>4</v>
      </c>
      <c r="AA39" s="35"/>
    </row>
    <row r="40" spans="1:27" ht="12.75">
      <c r="A40" s="34"/>
      <c r="B40" s="30" t="s">
        <v>62</v>
      </c>
      <c r="C40" s="31">
        <v>0.875</v>
      </c>
      <c r="D40" s="32" t="s">
        <v>104</v>
      </c>
      <c r="E40" s="31" t="s">
        <v>79</v>
      </c>
      <c r="F40" s="29" t="str">
        <f>AC15</f>
        <v>Paraguay</v>
      </c>
      <c r="G40" s="33" t="str">
        <f>AC16</f>
        <v>Trinidad &amp; Tobago</v>
      </c>
      <c r="H40" s="71">
        <v>2</v>
      </c>
      <c r="I40" s="71">
        <v>0</v>
      </c>
      <c r="J40" s="38"/>
      <c r="K40" s="38" t="str">
        <f t="shared" si="10"/>
        <v>Costa Rica</v>
      </c>
      <c r="L40" s="38">
        <f t="shared" si="11"/>
        <v>1</v>
      </c>
      <c r="M40" s="38" t="str">
        <f t="shared" si="12"/>
        <v>Costa Rica</v>
      </c>
      <c r="N40" s="38">
        <f t="shared" si="13"/>
        <v>2</v>
      </c>
      <c r="O40" s="38" t="str">
        <f t="shared" si="14"/>
        <v>Poland</v>
      </c>
      <c r="P40" s="38">
        <f t="shared" si="15"/>
        <v>2</v>
      </c>
      <c r="Q40" s="38" t="str">
        <f t="shared" si="16"/>
        <v>Poland</v>
      </c>
      <c r="R40" s="38">
        <f t="shared" si="17"/>
        <v>1</v>
      </c>
      <c r="S40" s="38" t="str">
        <f t="shared" si="18"/>
        <v>Costa Rica_lose</v>
      </c>
      <c r="T40" s="38" t="str">
        <f t="shared" si="19"/>
        <v>Poland_win</v>
      </c>
      <c r="U40" s="39" t="str">
        <f>VLOOKUP(2,AB42:AI45,2,FALSE)</f>
        <v>Croatia</v>
      </c>
      <c r="V40" s="37">
        <f>VLOOKUP(2,AB42:AI45,3,FALSE)</f>
        <v>0</v>
      </c>
      <c r="W40" s="37">
        <f>VLOOKUP(2,AB42:AI45,4,FALSE)</f>
        <v>2</v>
      </c>
      <c r="X40" s="37">
        <f>VLOOKUP(2,AB42:AI45,5,FALSE)</f>
        <v>1</v>
      </c>
      <c r="Y40" s="37" t="str">
        <f>CONCATENATE(VLOOKUP(2,AB42:AI45,6,FALSE)," - ",VLOOKUP(2,AB42:AI45,7,FALSE))</f>
        <v>2 - 3</v>
      </c>
      <c r="Z40" s="42">
        <f>VLOOKUP(2,AB42:AI45,8,FALSE)</f>
        <v>2</v>
      </c>
      <c r="AA40" s="35"/>
    </row>
    <row r="41" spans="1:27" ht="12.75">
      <c r="A41" s="34"/>
      <c r="B41" s="30" t="s">
        <v>62</v>
      </c>
      <c r="C41" s="31">
        <v>0.875</v>
      </c>
      <c r="D41" s="32" t="s">
        <v>101</v>
      </c>
      <c r="E41" s="31" t="s">
        <v>79</v>
      </c>
      <c r="F41" s="29" t="str">
        <f>AC17</f>
        <v>Sweden</v>
      </c>
      <c r="G41" s="33" t="str">
        <f>AC14</f>
        <v>England</v>
      </c>
      <c r="H41" s="71">
        <v>2</v>
      </c>
      <c r="I41" s="71">
        <v>2</v>
      </c>
      <c r="J41" s="38"/>
      <c r="K41" s="38" t="str">
        <f t="shared" si="10"/>
        <v>Paraguay</v>
      </c>
      <c r="L41" s="38">
        <f t="shared" si="11"/>
        <v>2</v>
      </c>
      <c r="M41" s="38" t="str">
        <f t="shared" si="12"/>
        <v>Paraguay</v>
      </c>
      <c r="N41" s="38">
        <f t="shared" si="13"/>
        <v>0</v>
      </c>
      <c r="O41" s="38" t="str">
        <f t="shared" si="14"/>
        <v>Trinidad &amp; Tobago</v>
      </c>
      <c r="P41" s="38">
        <f t="shared" si="15"/>
        <v>0</v>
      </c>
      <c r="Q41" s="38" t="str">
        <f t="shared" si="16"/>
        <v>Trinidad &amp; Tobago</v>
      </c>
      <c r="R41" s="38">
        <f t="shared" si="17"/>
        <v>2</v>
      </c>
      <c r="S41" s="38" t="str">
        <f t="shared" si="18"/>
        <v>Paraguay_win</v>
      </c>
      <c r="T41" s="38" t="str">
        <f t="shared" si="19"/>
        <v>Trinidad &amp; Tobago_lose</v>
      </c>
      <c r="U41" s="43" t="str">
        <f>VLOOKUP(1,AB42:AI45,2,FALSE)</f>
        <v>Japan</v>
      </c>
      <c r="V41" s="44">
        <f>VLOOKUP(1,AB42:AI45,3,FALSE)</f>
        <v>0</v>
      </c>
      <c r="W41" s="44">
        <f>VLOOKUP(1,AB42:AI45,4,FALSE)</f>
        <v>1</v>
      </c>
      <c r="X41" s="44">
        <f>VLOOKUP(1,AB42:AI45,5,FALSE)</f>
        <v>2</v>
      </c>
      <c r="Y41" s="44" t="str">
        <f>CONCATENATE(VLOOKUP(1,AB42:AI45,6,FALSE)," - ",VLOOKUP(1,AB42:AI45,7,FALSE))</f>
        <v>2 - 7</v>
      </c>
      <c r="Z41" s="45">
        <f>VLOOKUP(1,AB42:AI45,8,FALSE)</f>
        <v>1</v>
      </c>
      <c r="AA41" s="35"/>
    </row>
    <row r="42" spans="1:38" ht="12.75">
      <c r="A42" s="34"/>
      <c r="B42" s="30" t="s">
        <v>63</v>
      </c>
      <c r="C42" s="31">
        <v>0.6666666666666666</v>
      </c>
      <c r="D42" s="32" t="s">
        <v>94</v>
      </c>
      <c r="E42" s="31" t="s">
        <v>80</v>
      </c>
      <c r="F42" s="29" t="str">
        <f>AC22</f>
        <v>Côte d'Ivoire</v>
      </c>
      <c r="G42" s="33" t="str">
        <f>AC23</f>
        <v>Serbia &amp; Montenegro</v>
      </c>
      <c r="H42" s="71">
        <v>3</v>
      </c>
      <c r="I42" s="71">
        <v>2</v>
      </c>
      <c r="J42" s="38"/>
      <c r="K42" s="38" t="str">
        <f t="shared" si="10"/>
        <v>Sweden</v>
      </c>
      <c r="L42" s="38">
        <f t="shared" si="11"/>
        <v>2</v>
      </c>
      <c r="M42" s="38" t="str">
        <f t="shared" si="12"/>
        <v>Sweden</v>
      </c>
      <c r="N42" s="38">
        <f t="shared" si="13"/>
        <v>2</v>
      </c>
      <c r="O42" s="38" t="str">
        <f t="shared" si="14"/>
        <v>England</v>
      </c>
      <c r="P42" s="38">
        <f t="shared" si="15"/>
        <v>2</v>
      </c>
      <c r="Q42" s="38" t="str">
        <f t="shared" si="16"/>
        <v>England</v>
      </c>
      <c r="R42" s="38">
        <f t="shared" si="17"/>
        <v>2</v>
      </c>
      <c r="S42" s="38" t="str">
        <f t="shared" si="18"/>
        <v>Sweden_draw</v>
      </c>
      <c r="T42" s="38" t="str">
        <f t="shared" si="19"/>
        <v>England_draw</v>
      </c>
      <c r="U42" s="12" t="s">
        <v>19</v>
      </c>
      <c r="V42" s="13"/>
      <c r="W42" s="13"/>
      <c r="X42" s="13"/>
      <c r="Y42" s="13"/>
      <c r="Z42" s="14"/>
      <c r="AA42" s="35"/>
      <c r="AB42" s="2">
        <f>IF(AJ42&gt;AJ42,1,0)+IF(AJ42&gt;AJ43,1,0)+IF(AJ42&gt;AJ44,1,0)+IF(AJ42&gt;AJ45,1,0)+1</f>
        <v>4</v>
      </c>
      <c r="AC42" s="1" t="s">
        <v>39</v>
      </c>
      <c r="AD42" s="3">
        <f>COUNTIF($S$7:$T$54,CONCATENATE(AC42,"_win"))</f>
        <v>3</v>
      </c>
      <c r="AE42" s="3">
        <f>COUNTIF($S$7:$T$54,CONCATENATE(AC42,"_draw"))</f>
        <v>0</v>
      </c>
      <c r="AF42" s="3">
        <f>COUNTIF($S$7:$T$54,CONCATENATE(AC42,"_lose"))</f>
        <v>0</v>
      </c>
      <c r="AG42" s="3">
        <f>SUMIF($O$7:$O$54,CONCATENATE("=",AC42),$P$7:$P$54)+SUMIF($K$7:$K$54,CONCATENATE("=",AC42),$L$7:$L$54)</f>
        <v>7</v>
      </c>
      <c r="AH42" s="3">
        <f>SUMIF($Q$7:$Q$54,CONCATENATE("=",AC42),$R$7:$R$54)+SUMIF($M$7:$M$54,CONCATENATE("=",AC42),$N$7:$N$54)</f>
        <v>1</v>
      </c>
      <c r="AI42" s="3">
        <f>AD42*3+AE42</f>
        <v>9</v>
      </c>
      <c r="AJ42" s="3">
        <f>0.4+AG42+(AG42-AH42)*100+AD42*1000+AI42*10000</f>
        <v>93607.4</v>
      </c>
      <c r="AL42" s="1" t="str">
        <f>IF(SUM(AD42:AF45)=12,U38,"Group F Winner")</f>
        <v>Brazil</v>
      </c>
    </row>
    <row r="43" spans="1:38" ht="12.75">
      <c r="A43" s="34"/>
      <c r="B43" s="30" t="s">
        <v>63</v>
      </c>
      <c r="C43" s="31">
        <v>0.6666666666666666</v>
      </c>
      <c r="D43" s="32" t="s">
        <v>96</v>
      </c>
      <c r="E43" s="31" t="s">
        <v>80</v>
      </c>
      <c r="F43" s="29" t="str">
        <f>AC24</f>
        <v>Netherlands</v>
      </c>
      <c r="G43" s="33" t="str">
        <f>AC21</f>
        <v>Argentina</v>
      </c>
      <c r="H43" s="71">
        <v>0</v>
      </c>
      <c r="I43" s="71">
        <v>0</v>
      </c>
      <c r="J43" s="38"/>
      <c r="K43" s="38" t="str">
        <f t="shared" si="10"/>
        <v>Côte d'Ivoire</v>
      </c>
      <c r="L43" s="38">
        <f t="shared" si="11"/>
        <v>3</v>
      </c>
      <c r="M43" s="38" t="str">
        <f t="shared" si="12"/>
        <v>Côte d'Ivoire</v>
      </c>
      <c r="N43" s="38">
        <f t="shared" si="13"/>
        <v>2</v>
      </c>
      <c r="O43" s="38" t="str">
        <f t="shared" si="14"/>
        <v>Serbia &amp; Montenegro</v>
      </c>
      <c r="P43" s="38">
        <f t="shared" si="15"/>
        <v>2</v>
      </c>
      <c r="Q43" s="38" t="str">
        <f t="shared" si="16"/>
        <v>Serbia &amp; Montenegro</v>
      </c>
      <c r="R43" s="38">
        <f t="shared" si="17"/>
        <v>3</v>
      </c>
      <c r="S43" s="38" t="str">
        <f t="shared" si="18"/>
        <v>Côte d'Ivoire_win</v>
      </c>
      <c r="T43" s="38" t="str">
        <f t="shared" si="19"/>
        <v>Serbia &amp; Montenegro_lose</v>
      </c>
      <c r="U43" s="39"/>
      <c r="V43" s="40" t="s">
        <v>1</v>
      </c>
      <c r="W43" s="40" t="s">
        <v>2</v>
      </c>
      <c r="X43" s="40" t="s">
        <v>3</v>
      </c>
      <c r="Y43" s="40" t="s">
        <v>4</v>
      </c>
      <c r="Z43" s="41" t="s">
        <v>5</v>
      </c>
      <c r="AA43" s="35"/>
      <c r="AB43" s="2">
        <f>IF(AJ43&gt;AJ42,1,0)+IF(AJ43&gt;AJ43,1,0)+IF(AJ43&gt;AJ44,1,0)+IF(AJ43&gt;AJ45,1,0)+1</f>
        <v>2</v>
      </c>
      <c r="AC43" s="1" t="s">
        <v>40</v>
      </c>
      <c r="AD43" s="3">
        <f>COUNTIF($S$7:$T$54,CONCATENATE(AC43,"_win"))</f>
        <v>0</v>
      </c>
      <c r="AE43" s="3">
        <f>COUNTIF($S$7:$T$54,CONCATENATE(AC43,"_draw"))</f>
        <v>2</v>
      </c>
      <c r="AF43" s="3">
        <f>COUNTIF($S$7:$T$54,CONCATENATE(AC43,"_lose"))</f>
        <v>1</v>
      </c>
      <c r="AG43" s="3">
        <f>SUMIF($O$7:$O$54,CONCATENATE("=",AC43),$P$7:$P$54)+SUMIF($K$7:$K$54,CONCATENATE("=",AC43),$L$7:$L$54)</f>
        <v>2</v>
      </c>
      <c r="AH43" s="3">
        <f>SUMIF($Q$7:$Q$54,CONCATENATE("=",AC43),$R$7:$R$54)+SUMIF($M$7:$M$54,CONCATENATE("=",AC43),$N$7:$N$54)</f>
        <v>3</v>
      </c>
      <c r="AI43" s="3">
        <f>AD43*3+AE43</f>
        <v>2</v>
      </c>
      <c r="AJ43" s="3">
        <f>0.3+AG43+(AG43-AH43)*100+AD43*1000+AI43*10000</f>
        <v>19902.3</v>
      </c>
      <c r="AL43" s="1" t="str">
        <f>IF(SUM(AD42:AF45)=12,U39,"Group F Second place")</f>
        <v>Australia</v>
      </c>
    </row>
    <row r="44" spans="1:36" ht="12.75">
      <c r="A44" s="34"/>
      <c r="B44" s="30" t="s">
        <v>63</v>
      </c>
      <c r="C44" s="31">
        <v>0.875</v>
      </c>
      <c r="D44" s="32" t="s">
        <v>99</v>
      </c>
      <c r="E44" s="31" t="s">
        <v>2</v>
      </c>
      <c r="F44" s="29" t="str">
        <f>AC29</f>
        <v>Iran</v>
      </c>
      <c r="G44" s="33" t="str">
        <f>AC30</f>
        <v>Angola</v>
      </c>
      <c r="H44" s="71">
        <v>1</v>
      </c>
      <c r="I44" s="71">
        <v>1</v>
      </c>
      <c r="J44" s="38"/>
      <c r="K44" s="38" t="str">
        <f t="shared" si="10"/>
        <v>Netherlands</v>
      </c>
      <c r="L44" s="38">
        <f t="shared" si="11"/>
        <v>0</v>
      </c>
      <c r="M44" s="38" t="str">
        <f t="shared" si="12"/>
        <v>Netherlands</v>
      </c>
      <c r="N44" s="38">
        <f t="shared" si="13"/>
        <v>0</v>
      </c>
      <c r="O44" s="38" t="str">
        <f t="shared" si="14"/>
        <v>Argentina</v>
      </c>
      <c r="P44" s="38">
        <f t="shared" si="15"/>
        <v>0</v>
      </c>
      <c r="Q44" s="38" t="str">
        <f t="shared" si="16"/>
        <v>Argentina</v>
      </c>
      <c r="R44" s="38">
        <f t="shared" si="17"/>
        <v>0</v>
      </c>
      <c r="S44" s="38" t="str">
        <f t="shared" si="18"/>
        <v>Netherlands_draw</v>
      </c>
      <c r="T44" s="38" t="str">
        <f t="shared" si="19"/>
        <v>Argentina_draw</v>
      </c>
      <c r="U44" s="39" t="str">
        <f>VLOOKUP(4,AB49:AI52,2,FALSE)</f>
        <v>Switzerland</v>
      </c>
      <c r="V44" s="37">
        <f>VLOOKUP(4,AB49:AI52,3,FALSE)</f>
        <v>2</v>
      </c>
      <c r="W44" s="37">
        <f>VLOOKUP(4,AB49:AI52,4,FALSE)</f>
        <v>1</v>
      </c>
      <c r="X44" s="37">
        <f>VLOOKUP(4,AB49:AI52,5,FALSE)</f>
        <v>0</v>
      </c>
      <c r="Y44" s="37" t="str">
        <f>CONCATENATE(VLOOKUP(4,AB49:AI52,6,FALSE)," - ",VLOOKUP(4,AB49:AI52,7,FALSE))</f>
        <v>4 - 0</v>
      </c>
      <c r="Z44" s="42">
        <f>VLOOKUP(4,AB49:AI52,8,FALSE)</f>
        <v>7</v>
      </c>
      <c r="AA44" s="35"/>
      <c r="AB44" s="2">
        <f>IF(AJ44&gt;AJ42,1,0)+IF(AJ44&gt;AJ43,1,0)+IF(AJ44&gt;AJ44,1,0)+IF(AJ44&gt;AJ45,1,0)+1</f>
        <v>3</v>
      </c>
      <c r="AC44" s="1" t="s">
        <v>41</v>
      </c>
      <c r="AD44" s="3">
        <f>COUNTIF($S$7:$T$54,CONCATENATE(AC44,"_win"))</f>
        <v>1</v>
      </c>
      <c r="AE44" s="3">
        <f>COUNTIF($S$7:$T$54,CONCATENATE(AC44,"_draw"))</f>
        <v>1</v>
      </c>
      <c r="AF44" s="3">
        <f>COUNTIF($S$7:$T$54,CONCATENATE(AC44,"_lose"))</f>
        <v>1</v>
      </c>
      <c r="AG44" s="3">
        <f>SUMIF($O$7:$O$54,CONCATENATE("=",AC44),$P$7:$P$54)+SUMIF($K$7:$K$54,CONCATENATE("=",AC44),$L$7:$L$54)</f>
        <v>5</v>
      </c>
      <c r="AH44" s="3">
        <f>SUMIF($Q$7:$Q$54,CONCATENATE("=",AC44),$R$7:$R$54)+SUMIF($M$7:$M$54,CONCATENATE("=",AC44),$N$7:$N$54)</f>
        <v>5</v>
      </c>
      <c r="AI44" s="3">
        <f>AD44*3+AE44</f>
        <v>4</v>
      </c>
      <c r="AJ44" s="3">
        <f>0.2+AG44+(AG44-AH44)*100+AD44*1000+AI44*10000</f>
        <v>41005.2</v>
      </c>
    </row>
    <row r="45" spans="1:36" ht="12.75">
      <c r="A45" s="34"/>
      <c r="B45" s="30" t="s">
        <v>63</v>
      </c>
      <c r="C45" s="31">
        <v>0.875</v>
      </c>
      <c r="D45" s="32" t="s">
        <v>95</v>
      </c>
      <c r="E45" s="31" t="s">
        <v>2</v>
      </c>
      <c r="F45" s="29" t="str">
        <f>AC31</f>
        <v>Portugal</v>
      </c>
      <c r="G45" s="33" t="str">
        <f>AC28</f>
        <v>Mexico</v>
      </c>
      <c r="H45" s="71">
        <v>2</v>
      </c>
      <c r="I45" s="71">
        <v>1</v>
      </c>
      <c r="J45" s="38"/>
      <c r="K45" s="38" t="str">
        <f t="shared" si="10"/>
        <v>Iran</v>
      </c>
      <c r="L45" s="38">
        <f t="shared" si="11"/>
        <v>1</v>
      </c>
      <c r="M45" s="38" t="str">
        <f t="shared" si="12"/>
        <v>Iran</v>
      </c>
      <c r="N45" s="38">
        <f t="shared" si="13"/>
        <v>1</v>
      </c>
      <c r="O45" s="38" t="str">
        <f t="shared" si="14"/>
        <v>Angola</v>
      </c>
      <c r="P45" s="38">
        <f t="shared" si="15"/>
        <v>1</v>
      </c>
      <c r="Q45" s="38" t="str">
        <f t="shared" si="16"/>
        <v>Angola</v>
      </c>
      <c r="R45" s="38">
        <f t="shared" si="17"/>
        <v>1</v>
      </c>
      <c r="S45" s="38" t="str">
        <f t="shared" si="18"/>
        <v>Iran_draw</v>
      </c>
      <c r="T45" s="38" t="str">
        <f t="shared" si="19"/>
        <v>Angola_draw</v>
      </c>
      <c r="U45" s="39" t="str">
        <f>VLOOKUP(3,AB49:AI52,2,FALSE)</f>
        <v>France</v>
      </c>
      <c r="V45" s="37">
        <f>VLOOKUP(3,AB49:AI52,3,FALSE)</f>
        <v>1</v>
      </c>
      <c r="W45" s="37">
        <f>VLOOKUP(3,AB49:AI52,4,FALSE)</f>
        <v>2</v>
      </c>
      <c r="X45" s="37">
        <f>VLOOKUP(3,AB49:AI52,5,FALSE)</f>
        <v>0</v>
      </c>
      <c r="Y45" s="37" t="str">
        <f>CONCATENATE(VLOOKUP(3,AB49:AI52,6,FALSE)," - ",VLOOKUP(3,AB49:AI52,7,FALSE))</f>
        <v>3 - 1</v>
      </c>
      <c r="Z45" s="42">
        <f>VLOOKUP(3,AB49:AI52,8,FALSE)</f>
        <v>5</v>
      </c>
      <c r="AA45" s="35"/>
      <c r="AB45" s="2">
        <f>IF(AJ45&gt;AJ42,1,0)+IF(AJ45&gt;AJ43,1,0)+IF(AJ45&gt;AJ44,1,0)+IF(AJ45&gt;AJ45,1,0)+1</f>
        <v>1</v>
      </c>
      <c r="AC45" s="1" t="s">
        <v>42</v>
      </c>
      <c r="AD45" s="3">
        <f>COUNTIF($S$7:$T$54,CONCATENATE(AC45,"_win"))</f>
        <v>0</v>
      </c>
      <c r="AE45" s="3">
        <f>COUNTIF($S$7:$T$54,CONCATENATE(AC45,"_draw"))</f>
        <v>1</v>
      </c>
      <c r="AF45" s="3">
        <f>COUNTIF($S$7:$T$54,CONCATENATE(AC45,"_lose"))</f>
        <v>2</v>
      </c>
      <c r="AG45" s="3">
        <f>SUMIF($O$7:$O$54,CONCATENATE("=",AC45),$P$7:$P$54)+SUMIF($K$7:$K$54,CONCATENATE("=",AC45),$L$7:$L$54)</f>
        <v>2</v>
      </c>
      <c r="AH45" s="3">
        <f>SUMIF($Q$7:$Q$54,CONCATENATE("=",AC45),$R$7:$R$54)+SUMIF($M$7:$M$54,CONCATENATE("=",AC45),$N$7:$N$54)</f>
        <v>7</v>
      </c>
      <c r="AI45" s="3">
        <f>AD45*3+AE45</f>
        <v>1</v>
      </c>
      <c r="AJ45" s="3">
        <f>0.1+AG45+(AG45-AH45)*100+AD45*1000+AI45*10000</f>
        <v>9502.1</v>
      </c>
    </row>
    <row r="46" spans="1:27" ht="12.75">
      <c r="A46" s="34"/>
      <c r="B46" s="30" t="s">
        <v>64</v>
      </c>
      <c r="C46" s="31">
        <v>0.6666666666666666</v>
      </c>
      <c r="D46" s="32" t="s">
        <v>100</v>
      </c>
      <c r="E46" s="31" t="s">
        <v>81</v>
      </c>
      <c r="F46" s="29" t="str">
        <f>AC36</f>
        <v>Ghana</v>
      </c>
      <c r="G46" s="33" t="str">
        <f>AC37</f>
        <v>USA</v>
      </c>
      <c r="H46" s="70">
        <v>2</v>
      </c>
      <c r="I46" s="71">
        <v>1</v>
      </c>
      <c r="J46" s="38"/>
      <c r="K46" s="38" t="str">
        <f t="shared" si="10"/>
        <v>Portugal</v>
      </c>
      <c r="L46" s="38">
        <f t="shared" si="11"/>
        <v>2</v>
      </c>
      <c r="M46" s="38" t="str">
        <f t="shared" si="12"/>
        <v>Portugal</v>
      </c>
      <c r="N46" s="38">
        <f t="shared" si="13"/>
        <v>1</v>
      </c>
      <c r="O46" s="38" t="str">
        <f t="shared" si="14"/>
        <v>Mexico</v>
      </c>
      <c r="P46" s="38">
        <f t="shared" si="15"/>
        <v>1</v>
      </c>
      <c r="Q46" s="38" t="str">
        <f t="shared" si="16"/>
        <v>Mexico</v>
      </c>
      <c r="R46" s="38">
        <f t="shared" si="17"/>
        <v>2</v>
      </c>
      <c r="S46" s="38" t="str">
        <f t="shared" si="18"/>
        <v>Portugal_win</v>
      </c>
      <c r="T46" s="38" t="str">
        <f t="shared" si="19"/>
        <v>Mexico_lose</v>
      </c>
      <c r="U46" s="39" t="str">
        <f>VLOOKUP(2,AB49:AI52,2,FALSE)</f>
        <v>Korea Republic</v>
      </c>
      <c r="V46" s="37">
        <f>VLOOKUP(2,AB49:AI52,3,FALSE)</f>
        <v>1</v>
      </c>
      <c r="W46" s="37">
        <f>VLOOKUP(2,AB49:AI52,4,FALSE)</f>
        <v>1</v>
      </c>
      <c r="X46" s="37">
        <f>VLOOKUP(2,AB49:AI52,5,FALSE)</f>
        <v>1</v>
      </c>
      <c r="Y46" s="37" t="str">
        <f>CONCATENATE(VLOOKUP(2,AB49:AI52,6,FALSE)," - ",VLOOKUP(2,AB49:AI52,7,FALSE))</f>
        <v>3 - 4</v>
      </c>
      <c r="Z46" s="42">
        <f>VLOOKUP(2,AB49:AI52,8,FALSE)</f>
        <v>4</v>
      </c>
      <c r="AA46" s="35"/>
    </row>
    <row r="47" spans="1:27" ht="12.75">
      <c r="A47" s="34"/>
      <c r="B47" s="30" t="s">
        <v>64</v>
      </c>
      <c r="C47" s="31">
        <v>0.6666666666666666</v>
      </c>
      <c r="D47" s="32" t="s">
        <v>98</v>
      </c>
      <c r="E47" s="31" t="s">
        <v>81</v>
      </c>
      <c r="F47" s="29" t="str">
        <f>AC38</f>
        <v>Czech Republic</v>
      </c>
      <c r="G47" s="33" t="str">
        <f>AC35</f>
        <v>Italy</v>
      </c>
      <c r="H47" s="71">
        <v>0</v>
      </c>
      <c r="I47" s="71">
        <v>2</v>
      </c>
      <c r="J47" s="38"/>
      <c r="K47" s="38" t="str">
        <f t="shared" si="10"/>
        <v>Ghana</v>
      </c>
      <c r="L47" s="38">
        <f t="shared" si="11"/>
        <v>2</v>
      </c>
      <c r="M47" s="38" t="str">
        <f t="shared" si="12"/>
        <v>Ghana</v>
      </c>
      <c r="N47" s="38">
        <f t="shared" si="13"/>
        <v>1</v>
      </c>
      <c r="O47" s="38" t="str">
        <f t="shared" si="14"/>
        <v>USA</v>
      </c>
      <c r="P47" s="38">
        <f t="shared" si="15"/>
        <v>1</v>
      </c>
      <c r="Q47" s="38" t="str">
        <f t="shared" si="16"/>
        <v>USA</v>
      </c>
      <c r="R47" s="38">
        <f t="shared" si="17"/>
        <v>2</v>
      </c>
      <c r="S47" s="38" t="str">
        <f t="shared" si="18"/>
        <v>Ghana_win</v>
      </c>
      <c r="T47" s="38" t="str">
        <f t="shared" si="19"/>
        <v>USA_lose</v>
      </c>
      <c r="U47" s="43" t="str">
        <f>VLOOKUP(1,AB49:AI52,2,FALSE)</f>
        <v>Togo</v>
      </c>
      <c r="V47" s="44">
        <f>VLOOKUP(1,AB49:AI52,3,FALSE)</f>
        <v>0</v>
      </c>
      <c r="W47" s="44">
        <f>VLOOKUP(1,AB49:AI52,4,FALSE)</f>
        <v>0</v>
      </c>
      <c r="X47" s="44">
        <f>VLOOKUP(1,AB49:AI52,5,FALSE)</f>
        <v>3</v>
      </c>
      <c r="Y47" s="44" t="str">
        <f>CONCATENATE(VLOOKUP(1,AB49:AI52,6,FALSE)," - ",VLOOKUP(1,AB49:AI52,7,FALSE))</f>
        <v>1 - 6</v>
      </c>
      <c r="Z47" s="45">
        <f>VLOOKUP(1,AB49:AI52,8,FALSE)</f>
        <v>0</v>
      </c>
      <c r="AA47" s="35"/>
    </row>
    <row r="48" spans="1:27" ht="12.75">
      <c r="A48" s="34"/>
      <c r="B48" s="30" t="s">
        <v>64</v>
      </c>
      <c r="C48" s="31">
        <v>0.875</v>
      </c>
      <c r="D48" s="32" t="s">
        <v>105</v>
      </c>
      <c r="E48" s="31" t="s">
        <v>10</v>
      </c>
      <c r="F48" s="29" t="str">
        <f>AC43</f>
        <v>Croatia</v>
      </c>
      <c r="G48" s="33" t="str">
        <f>AC44</f>
        <v>Australia</v>
      </c>
      <c r="H48" s="71">
        <v>2</v>
      </c>
      <c r="I48" s="71">
        <v>2</v>
      </c>
      <c r="J48" s="38"/>
      <c r="K48" s="38" t="str">
        <f t="shared" si="10"/>
        <v>Czech Republic</v>
      </c>
      <c r="L48" s="38">
        <f t="shared" si="11"/>
        <v>0</v>
      </c>
      <c r="M48" s="38" t="str">
        <f t="shared" si="12"/>
        <v>Czech Republic</v>
      </c>
      <c r="N48" s="38">
        <f t="shared" si="13"/>
        <v>2</v>
      </c>
      <c r="O48" s="38" t="str">
        <f t="shared" si="14"/>
        <v>Italy</v>
      </c>
      <c r="P48" s="38">
        <f t="shared" si="15"/>
        <v>2</v>
      </c>
      <c r="Q48" s="38" t="str">
        <f t="shared" si="16"/>
        <v>Italy</v>
      </c>
      <c r="R48" s="38">
        <f t="shared" si="17"/>
        <v>0</v>
      </c>
      <c r="S48" s="38" t="str">
        <f t="shared" si="18"/>
        <v>Czech Republic_lose</v>
      </c>
      <c r="T48" s="38" t="str">
        <f t="shared" si="19"/>
        <v>Italy_win</v>
      </c>
      <c r="U48" s="12" t="s">
        <v>20</v>
      </c>
      <c r="V48" s="13"/>
      <c r="W48" s="13"/>
      <c r="X48" s="13"/>
      <c r="Y48" s="13"/>
      <c r="Z48" s="14"/>
      <c r="AA48" s="35"/>
    </row>
    <row r="49" spans="1:38" ht="12.75">
      <c r="A49" s="34"/>
      <c r="B49" s="30" t="s">
        <v>64</v>
      </c>
      <c r="C49" s="31">
        <v>0.875</v>
      </c>
      <c r="D49" s="32" t="s">
        <v>97</v>
      </c>
      <c r="E49" s="31" t="s">
        <v>10</v>
      </c>
      <c r="F49" s="29" t="str">
        <f>AC45</f>
        <v>Japan</v>
      </c>
      <c r="G49" s="33" t="str">
        <f>AC42</f>
        <v>Brazil</v>
      </c>
      <c r="H49" s="71">
        <v>1</v>
      </c>
      <c r="I49" s="71">
        <v>4</v>
      </c>
      <c r="J49" s="38"/>
      <c r="K49" s="38" t="str">
        <f t="shared" si="10"/>
        <v>Croatia</v>
      </c>
      <c r="L49" s="38">
        <f t="shared" si="11"/>
        <v>2</v>
      </c>
      <c r="M49" s="38" t="str">
        <f t="shared" si="12"/>
        <v>Croatia</v>
      </c>
      <c r="N49" s="38">
        <f t="shared" si="13"/>
        <v>2</v>
      </c>
      <c r="O49" s="38" t="str">
        <f t="shared" si="14"/>
        <v>Australia</v>
      </c>
      <c r="P49" s="38">
        <f t="shared" si="15"/>
        <v>2</v>
      </c>
      <c r="Q49" s="38" t="str">
        <f t="shared" si="16"/>
        <v>Australia</v>
      </c>
      <c r="R49" s="38">
        <f t="shared" si="17"/>
        <v>2</v>
      </c>
      <c r="S49" s="38" t="str">
        <f t="shared" si="18"/>
        <v>Croatia_draw</v>
      </c>
      <c r="T49" s="38" t="str">
        <f t="shared" si="19"/>
        <v>Australia_draw</v>
      </c>
      <c r="U49" s="39"/>
      <c r="V49" s="40" t="s">
        <v>1</v>
      </c>
      <c r="W49" s="40" t="s">
        <v>2</v>
      </c>
      <c r="X49" s="40" t="s">
        <v>3</v>
      </c>
      <c r="Y49" s="40" t="s">
        <v>4</v>
      </c>
      <c r="Z49" s="41" t="s">
        <v>5</v>
      </c>
      <c r="AA49" s="35"/>
      <c r="AB49" s="2">
        <f>IF(AJ49&gt;AJ49,1,0)+IF(AJ49&gt;AJ50,1,0)+IF(AJ49&gt;AJ51,1,0)+IF(AJ49&gt;AJ52,1,0)+1</f>
        <v>3</v>
      </c>
      <c r="AC49" s="1" t="s">
        <v>43</v>
      </c>
      <c r="AD49" s="3">
        <f>COUNTIF($S$7:$T$54,CONCATENATE(AC49,"_win"))</f>
        <v>1</v>
      </c>
      <c r="AE49" s="3">
        <f>COUNTIF($S$7:$T$54,CONCATENATE(AC49,"_draw"))</f>
        <v>2</v>
      </c>
      <c r="AF49" s="3">
        <f>COUNTIF($S$7:$T$54,CONCATENATE(AC49,"_lose"))</f>
        <v>0</v>
      </c>
      <c r="AG49" s="3">
        <f>SUMIF($O$7:$O$54,CONCATENATE("=",AC49),$P$7:$P$54)+SUMIF($K$7:$K$54,CONCATENATE("=",AC49),$L$7:$L$54)</f>
        <v>3</v>
      </c>
      <c r="AH49" s="3">
        <f>SUMIF($Q$7:$Q$54,CONCATENATE("=",AC49),$R$7:$R$54)+SUMIF($M$7:$M$54,CONCATENATE("=",AC49),$N$7:$N$54)</f>
        <v>1</v>
      </c>
      <c r="AI49" s="3">
        <f>AD49*3+AE49</f>
        <v>5</v>
      </c>
      <c r="AJ49" s="3">
        <f>0.4+AG49+(AG49-AH49)*100+AD49*1000+AI49*10000</f>
        <v>51203.4</v>
      </c>
      <c r="AL49" s="1" t="str">
        <f>IF(SUM(AD49:AF52)=12,U44,"Group G Winner")</f>
        <v>Switzerland</v>
      </c>
    </row>
    <row r="50" spans="1:38" ht="12.75">
      <c r="A50" s="34"/>
      <c r="B50" s="30" t="s">
        <v>65</v>
      </c>
      <c r="C50" s="31">
        <v>0.6666666666666666</v>
      </c>
      <c r="D50" s="32" t="s">
        <v>102</v>
      </c>
      <c r="E50" s="31" t="s">
        <v>82</v>
      </c>
      <c r="F50" s="29" t="str">
        <f>AC50</f>
        <v>Switzerland</v>
      </c>
      <c r="G50" s="33" t="str">
        <f>AC51</f>
        <v>Korea Republic</v>
      </c>
      <c r="H50" s="71">
        <v>2</v>
      </c>
      <c r="I50" s="71">
        <v>0</v>
      </c>
      <c r="J50" s="38"/>
      <c r="K50" s="38" t="str">
        <f t="shared" si="10"/>
        <v>Japan</v>
      </c>
      <c r="L50" s="38">
        <f t="shared" si="11"/>
        <v>1</v>
      </c>
      <c r="M50" s="38" t="str">
        <f t="shared" si="12"/>
        <v>Japan</v>
      </c>
      <c r="N50" s="38">
        <f t="shared" si="13"/>
        <v>4</v>
      </c>
      <c r="O50" s="38" t="str">
        <f t="shared" si="14"/>
        <v>Brazil</v>
      </c>
      <c r="P50" s="38">
        <f t="shared" si="15"/>
        <v>4</v>
      </c>
      <c r="Q50" s="38" t="str">
        <f t="shared" si="16"/>
        <v>Brazil</v>
      </c>
      <c r="R50" s="38">
        <f t="shared" si="17"/>
        <v>1</v>
      </c>
      <c r="S50" s="38" t="str">
        <f t="shared" si="18"/>
        <v>Japan_lose</v>
      </c>
      <c r="T50" s="38" t="str">
        <f t="shared" si="19"/>
        <v>Brazil_win</v>
      </c>
      <c r="U50" s="39" t="str">
        <f>VLOOKUP(4,AB56:AI59,2,FALSE)</f>
        <v>Spain</v>
      </c>
      <c r="V50" s="37">
        <f>VLOOKUP(4,AB56:AI59,3,FALSE)</f>
        <v>3</v>
      </c>
      <c r="W50" s="37">
        <f>VLOOKUP(4,AB56:AI59,4,FALSE)</f>
        <v>0</v>
      </c>
      <c r="X50" s="37">
        <f>VLOOKUP(4,AB56:AI59,5,FALSE)</f>
        <v>0</v>
      </c>
      <c r="Y50" s="37" t="str">
        <f>CONCATENATE(VLOOKUP(4,AB56:AI59,6,FALSE)," - ",VLOOKUP(4,AB56:AI59,7,FALSE))</f>
        <v>8 - 1</v>
      </c>
      <c r="Z50" s="42">
        <f>VLOOKUP(4,AB56:AI59,8,FALSE)</f>
        <v>9</v>
      </c>
      <c r="AA50" s="35"/>
      <c r="AB50" s="2">
        <f>IF(AJ50&gt;AJ49,1,0)+IF(AJ50&gt;AJ50,1,0)+IF(AJ50&gt;AJ51,1,0)+IF(AJ50&gt;AJ52,1,0)+1</f>
        <v>4</v>
      </c>
      <c r="AC50" s="1" t="s">
        <v>44</v>
      </c>
      <c r="AD50" s="3">
        <f>COUNTIF($S$7:$T$54,CONCATENATE(AC50,"_win"))</f>
        <v>2</v>
      </c>
      <c r="AE50" s="3">
        <f>COUNTIF($S$7:$T$54,CONCATENATE(AC50,"_draw"))</f>
        <v>1</v>
      </c>
      <c r="AF50" s="3">
        <f>COUNTIF($S$7:$T$54,CONCATENATE(AC50,"_lose"))</f>
        <v>0</v>
      </c>
      <c r="AG50" s="3">
        <f>SUMIF($O$7:$O$54,CONCATENATE("=",AC50),$P$7:$P$54)+SUMIF($K$7:$K$54,CONCATENATE("=",AC50),$L$7:$L$54)</f>
        <v>4</v>
      </c>
      <c r="AH50" s="3">
        <f>SUMIF($Q$7:$Q$54,CONCATENATE("=",AC50),$R$7:$R$54)+SUMIF($M$7:$M$54,CONCATENATE("=",AC50),$N$7:$N$54)</f>
        <v>0</v>
      </c>
      <c r="AI50" s="3">
        <f>AD50*3+AE50</f>
        <v>7</v>
      </c>
      <c r="AJ50" s="3">
        <f>0.3+AG50+(AG50-AH50)*100+AD50*1000+AI50*10000</f>
        <v>72404.3</v>
      </c>
      <c r="AL50" s="1" t="str">
        <f>IF(SUM(AD49:AF52)=12,U45,"Group G Second place")</f>
        <v>France</v>
      </c>
    </row>
    <row r="51" spans="1:36" ht="12.75">
      <c r="A51" s="34"/>
      <c r="B51" s="30" t="s">
        <v>65</v>
      </c>
      <c r="C51" s="31">
        <v>0.6666666666666666</v>
      </c>
      <c r="D51" s="32" t="s">
        <v>101</v>
      </c>
      <c r="E51" s="31" t="s">
        <v>82</v>
      </c>
      <c r="F51" s="29" t="str">
        <f>AC52</f>
        <v>Togo</v>
      </c>
      <c r="G51" s="33" t="str">
        <f>AC49</f>
        <v>France</v>
      </c>
      <c r="H51" s="71">
        <v>0</v>
      </c>
      <c r="I51" s="71">
        <v>2</v>
      </c>
      <c r="J51" s="38"/>
      <c r="K51" s="38" t="str">
        <f t="shared" si="10"/>
        <v>Switzerland</v>
      </c>
      <c r="L51" s="38">
        <f t="shared" si="11"/>
        <v>2</v>
      </c>
      <c r="M51" s="38" t="str">
        <f t="shared" si="12"/>
        <v>Switzerland</v>
      </c>
      <c r="N51" s="38">
        <f t="shared" si="13"/>
        <v>0</v>
      </c>
      <c r="O51" s="38" t="str">
        <f t="shared" si="14"/>
        <v>Korea Republic</v>
      </c>
      <c r="P51" s="38">
        <f t="shared" si="15"/>
        <v>0</v>
      </c>
      <c r="Q51" s="38" t="str">
        <f t="shared" si="16"/>
        <v>Korea Republic</v>
      </c>
      <c r="R51" s="38">
        <f t="shared" si="17"/>
        <v>2</v>
      </c>
      <c r="S51" s="38" t="str">
        <f t="shared" si="18"/>
        <v>Switzerland_win</v>
      </c>
      <c r="T51" s="38" t="str">
        <f t="shared" si="19"/>
        <v>Korea Republic_lose</v>
      </c>
      <c r="U51" s="39" t="str">
        <f>VLOOKUP(3,AB56:AI59,2,FALSE)</f>
        <v>Ukraine</v>
      </c>
      <c r="V51" s="37">
        <f>VLOOKUP(3,AB56:AI59,3,FALSE)</f>
        <v>2</v>
      </c>
      <c r="W51" s="37">
        <f>VLOOKUP(3,AB56:AI59,4,FALSE)</f>
        <v>0</v>
      </c>
      <c r="X51" s="37">
        <f>VLOOKUP(3,AB56:AI59,5,FALSE)</f>
        <v>1</v>
      </c>
      <c r="Y51" s="37" t="str">
        <f>CONCATENATE(VLOOKUP(3,AB56:AI59,6,FALSE)," - ",VLOOKUP(3,AB56:AI59,7,FALSE))</f>
        <v>5 - 4</v>
      </c>
      <c r="Z51" s="42">
        <f>VLOOKUP(3,AB56:AI59,8,FALSE)</f>
        <v>6</v>
      </c>
      <c r="AA51" s="35"/>
      <c r="AB51" s="2">
        <f>IF(AJ51&gt;AJ49,1,0)+IF(AJ51&gt;AJ50,1,0)+IF(AJ51&gt;AJ51,1,0)+IF(AJ51&gt;AJ52,1,0)+1</f>
        <v>2</v>
      </c>
      <c r="AC51" s="1" t="s">
        <v>108</v>
      </c>
      <c r="AD51" s="3">
        <f>COUNTIF($S$7:$T$54,CONCATENATE(AC51,"_win"))</f>
        <v>1</v>
      </c>
      <c r="AE51" s="3">
        <f>COUNTIF($S$7:$T$54,CONCATENATE(AC51,"_draw"))</f>
        <v>1</v>
      </c>
      <c r="AF51" s="3">
        <f>COUNTIF($S$7:$T$54,CONCATENATE(AC51,"_lose"))</f>
        <v>1</v>
      </c>
      <c r="AG51" s="3">
        <f>SUMIF($O$7:$O$54,CONCATENATE("=",AC51),$P$7:$P$54)+SUMIF($K$7:$K$54,CONCATENATE("=",AC51),$L$7:$L$54)</f>
        <v>3</v>
      </c>
      <c r="AH51" s="3">
        <f>SUMIF($Q$7:$Q$54,CONCATENATE("=",AC51),$R$7:$R$54)+SUMIF($M$7:$M$54,CONCATENATE("=",AC51),$N$7:$N$54)</f>
        <v>4</v>
      </c>
      <c r="AI51" s="3">
        <f>AD51*3+AE51</f>
        <v>4</v>
      </c>
      <c r="AJ51" s="3">
        <f>0.2+AG51+(AG51-AH51)*100+AD51*1000+AI51*10000</f>
        <v>40903.2</v>
      </c>
    </row>
    <row r="52" spans="1:36" ht="12.75">
      <c r="A52" s="34"/>
      <c r="B52" s="30" t="s">
        <v>65</v>
      </c>
      <c r="C52" s="31">
        <v>0.875</v>
      </c>
      <c r="D52" s="32" t="s">
        <v>103</v>
      </c>
      <c r="E52" s="31" t="s">
        <v>83</v>
      </c>
      <c r="F52" s="29" t="str">
        <f>AC57</f>
        <v>Ukraine</v>
      </c>
      <c r="G52" s="33" t="str">
        <f>AC58</f>
        <v>Tunisia</v>
      </c>
      <c r="H52" s="71">
        <v>1</v>
      </c>
      <c r="I52" s="71">
        <v>0</v>
      </c>
      <c r="J52" s="38"/>
      <c r="K52" s="38" t="str">
        <f t="shared" si="10"/>
        <v>Togo</v>
      </c>
      <c r="L52" s="38">
        <f t="shared" si="11"/>
        <v>0</v>
      </c>
      <c r="M52" s="38" t="str">
        <f t="shared" si="12"/>
        <v>Togo</v>
      </c>
      <c r="N52" s="38">
        <f t="shared" si="13"/>
        <v>2</v>
      </c>
      <c r="O52" s="38" t="str">
        <f t="shared" si="14"/>
        <v>France</v>
      </c>
      <c r="P52" s="38">
        <f t="shared" si="15"/>
        <v>2</v>
      </c>
      <c r="Q52" s="38" t="str">
        <f t="shared" si="16"/>
        <v>France</v>
      </c>
      <c r="R52" s="38">
        <f t="shared" si="17"/>
        <v>0</v>
      </c>
      <c r="S52" s="38" t="str">
        <f t="shared" si="18"/>
        <v>Togo_lose</v>
      </c>
      <c r="T52" s="38" t="str">
        <f t="shared" si="19"/>
        <v>France_win</v>
      </c>
      <c r="U52" s="39" t="str">
        <f>VLOOKUP(2,AB56:AI59,2,FALSE)</f>
        <v>Tunisia</v>
      </c>
      <c r="V52" s="37">
        <f>VLOOKUP(2,AB56:AI59,3,FALSE)</f>
        <v>0</v>
      </c>
      <c r="W52" s="37">
        <f>VLOOKUP(2,AB56:AI59,4,FALSE)</f>
        <v>1</v>
      </c>
      <c r="X52" s="37">
        <f>VLOOKUP(2,AB56:AI59,5,FALSE)</f>
        <v>2</v>
      </c>
      <c r="Y52" s="37" t="str">
        <f>CONCATENATE(VLOOKUP(2,AB56:AI59,6,FALSE)," - ",VLOOKUP(2,AB56:AI59,7,FALSE))</f>
        <v>3 - 6</v>
      </c>
      <c r="Z52" s="42">
        <f>VLOOKUP(2,AB56:AI59,8,FALSE)</f>
        <v>1</v>
      </c>
      <c r="AA52" s="35"/>
      <c r="AB52" s="2">
        <f>IF(AJ52&gt;AJ49,1,0)+IF(AJ52&gt;AJ50,1,0)+IF(AJ52&gt;AJ51,1,0)+IF(AJ52&gt;AJ52,1,0)+1</f>
        <v>1</v>
      </c>
      <c r="AC52" s="1" t="s">
        <v>45</v>
      </c>
      <c r="AD52" s="3">
        <f>COUNTIF($S$7:$T$54,CONCATENATE(AC52,"_win"))</f>
        <v>0</v>
      </c>
      <c r="AE52" s="3">
        <f>COUNTIF($S$7:$T$54,CONCATENATE(AC52,"_draw"))</f>
        <v>0</v>
      </c>
      <c r="AF52" s="3">
        <f>COUNTIF($S$7:$T$54,CONCATENATE(AC52,"_lose"))</f>
        <v>3</v>
      </c>
      <c r="AG52" s="3">
        <f>SUMIF($O$7:$O$54,CONCATENATE("=",AC52),$P$7:$P$54)+SUMIF($K$7:$K$54,CONCATENATE("=",AC52),$L$7:$L$54)</f>
        <v>1</v>
      </c>
      <c r="AH52" s="3">
        <f>SUMIF($Q$7:$Q$54,CONCATENATE("=",AC52),$R$7:$R$54)+SUMIF($M$7:$M$54,CONCATENATE("=",AC52),$N$7:$N$54)</f>
        <v>6</v>
      </c>
      <c r="AI52" s="3">
        <f>AD52*3+AE52</f>
        <v>0</v>
      </c>
      <c r="AJ52" s="3">
        <f>0.1+AG52+(AG52-AH52)*100+AD52*1000+AI52*10000</f>
        <v>-498.9</v>
      </c>
    </row>
    <row r="53" spans="1:27" ht="12.75">
      <c r="A53" s="34"/>
      <c r="B53" s="30" t="s">
        <v>65</v>
      </c>
      <c r="C53" s="31">
        <v>0.875</v>
      </c>
      <c r="D53" s="32" t="s">
        <v>104</v>
      </c>
      <c r="E53" s="31" t="s">
        <v>83</v>
      </c>
      <c r="F53" s="29" t="str">
        <f>AC59</f>
        <v>Saudi Arabia</v>
      </c>
      <c r="G53" s="33" t="str">
        <f>AC56</f>
        <v>Spain</v>
      </c>
      <c r="H53" s="71">
        <v>0</v>
      </c>
      <c r="I53" s="71">
        <v>1</v>
      </c>
      <c r="J53" s="38"/>
      <c r="K53" s="38" t="str">
        <f t="shared" si="10"/>
        <v>Ukraine</v>
      </c>
      <c r="L53" s="38">
        <f t="shared" si="11"/>
        <v>1</v>
      </c>
      <c r="M53" s="38" t="str">
        <f t="shared" si="12"/>
        <v>Ukraine</v>
      </c>
      <c r="N53" s="38">
        <f t="shared" si="13"/>
        <v>0</v>
      </c>
      <c r="O53" s="38" t="str">
        <f t="shared" si="14"/>
        <v>Tunisia</v>
      </c>
      <c r="P53" s="38">
        <f t="shared" si="15"/>
        <v>0</v>
      </c>
      <c r="Q53" s="38" t="str">
        <f t="shared" si="16"/>
        <v>Tunisia</v>
      </c>
      <c r="R53" s="38">
        <f t="shared" si="17"/>
        <v>1</v>
      </c>
      <c r="S53" s="38" t="str">
        <f t="shared" si="18"/>
        <v>Ukraine_win</v>
      </c>
      <c r="T53" s="38" t="str">
        <f t="shared" si="19"/>
        <v>Tunisia_lose</v>
      </c>
      <c r="U53" s="43" t="str">
        <f>VLOOKUP(1,AB56:AI59,2,FALSE)</f>
        <v>Saudi Arabia</v>
      </c>
      <c r="V53" s="44">
        <f>VLOOKUP(1,AB56:AI59,3,FALSE)</f>
        <v>0</v>
      </c>
      <c r="W53" s="44">
        <f>VLOOKUP(1,AB56:AI59,4,FALSE)</f>
        <v>1</v>
      </c>
      <c r="X53" s="44">
        <f>VLOOKUP(1,AB56:AI59,5,FALSE)</f>
        <v>2</v>
      </c>
      <c r="Y53" s="44" t="str">
        <f>CONCATENATE(VLOOKUP(1,AB56:AI59,6,FALSE)," - ",VLOOKUP(1,AB56:AI59,7,FALSE))</f>
        <v>2 - 7</v>
      </c>
      <c r="Z53" s="45">
        <f>VLOOKUP(1,AB56:AI59,8,FALSE)</f>
        <v>1</v>
      </c>
      <c r="AA53" s="35"/>
    </row>
    <row r="54" spans="1:27" ht="12.75">
      <c r="A54" s="34"/>
      <c r="B54" s="46"/>
      <c r="C54" s="46"/>
      <c r="D54" s="46"/>
      <c r="E54" s="46"/>
      <c r="F54" s="46"/>
      <c r="G54" s="46"/>
      <c r="H54" s="46"/>
      <c r="I54" s="46"/>
      <c r="J54" s="38"/>
      <c r="K54" s="38" t="str">
        <f t="shared" si="10"/>
        <v>Saudi Arabia</v>
      </c>
      <c r="L54" s="38">
        <f t="shared" si="11"/>
        <v>0</v>
      </c>
      <c r="M54" s="38" t="str">
        <f t="shared" si="12"/>
        <v>Saudi Arabia</v>
      </c>
      <c r="N54" s="38">
        <f t="shared" si="13"/>
        <v>1</v>
      </c>
      <c r="O54" s="38" t="str">
        <f t="shared" si="14"/>
        <v>Spain</v>
      </c>
      <c r="P54" s="38">
        <f t="shared" si="15"/>
        <v>1</v>
      </c>
      <c r="Q54" s="38" t="str">
        <f t="shared" si="16"/>
        <v>Spain</v>
      </c>
      <c r="R54" s="38">
        <f t="shared" si="17"/>
        <v>0</v>
      </c>
      <c r="S54" s="38" t="str">
        <f t="shared" si="18"/>
        <v>Saudi Arabia_lose</v>
      </c>
      <c r="T54" s="38" t="str">
        <f t="shared" si="19"/>
        <v>Spain_win</v>
      </c>
      <c r="U54" s="38"/>
      <c r="V54" s="47"/>
      <c r="W54" s="47"/>
      <c r="X54" s="47"/>
      <c r="Y54" s="47"/>
      <c r="Z54" s="47"/>
      <c r="AA54" s="35"/>
    </row>
    <row r="55" spans="1:27" ht="12.75">
      <c r="A55" s="34"/>
      <c r="B55" s="9" t="s">
        <v>76</v>
      </c>
      <c r="C55" s="10" t="s">
        <v>77</v>
      </c>
      <c r="D55" s="10" t="s">
        <v>91</v>
      </c>
      <c r="E55" s="10" t="s">
        <v>78</v>
      </c>
      <c r="F55" s="10" t="s">
        <v>92</v>
      </c>
      <c r="G55" s="10"/>
      <c r="H55" s="76" t="s">
        <v>93</v>
      </c>
      <c r="I55" s="7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7"/>
      <c r="W55" s="47"/>
      <c r="X55" s="47"/>
      <c r="Y55" s="47"/>
      <c r="Z55" s="47"/>
      <c r="AA55" s="35"/>
    </row>
    <row r="56" spans="1:38" ht="12.75" customHeight="1">
      <c r="A56" s="34"/>
      <c r="B56" s="26" t="s">
        <v>66</v>
      </c>
      <c r="C56" s="27">
        <v>0.7083333333333334</v>
      </c>
      <c r="D56" s="28" t="s">
        <v>94</v>
      </c>
      <c r="E56" s="27" t="s">
        <v>88</v>
      </c>
      <c r="F56" s="29" t="str">
        <f>AL7</f>
        <v>Germany</v>
      </c>
      <c r="G56" s="29" t="str">
        <f>AL15</f>
        <v>Sweden</v>
      </c>
      <c r="H56" s="70">
        <v>2</v>
      </c>
      <c r="I56" s="70">
        <v>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7"/>
      <c r="W56" s="47"/>
      <c r="X56" s="47"/>
      <c r="Y56" s="47"/>
      <c r="Z56" s="47"/>
      <c r="AA56" s="35"/>
      <c r="AB56" s="2">
        <f>IF(AJ56&gt;AJ56,1,0)+IF(AJ56&gt;AJ57,1,0)+IF(AJ56&gt;AJ58,1,0)+IF(AJ56&gt;AJ59,1,0)+1</f>
        <v>4</v>
      </c>
      <c r="AC56" s="1" t="s">
        <v>46</v>
      </c>
      <c r="AD56" s="3">
        <f>COUNTIF($S$7:$T$54,CONCATENATE(AC56,"_win"))</f>
        <v>3</v>
      </c>
      <c r="AE56" s="3">
        <f>COUNTIF($S$7:$T$54,CONCATENATE(AC56,"_draw"))</f>
        <v>0</v>
      </c>
      <c r="AF56" s="3">
        <f>COUNTIF($S$7:$T$54,CONCATENATE(AC56,"_lose"))</f>
        <v>0</v>
      </c>
      <c r="AG56" s="3">
        <f>SUMIF($O$7:$O$54,CONCATENATE("=",AC56),$P$7:$P$54)+SUMIF($K$7:$K$54,CONCATENATE("=",AC56),$L$7:$L$54)</f>
        <v>8</v>
      </c>
      <c r="AH56" s="3">
        <f>SUMIF($Q$7:$Q$54,CONCATENATE("=",AC56),$R$7:$R$54)+SUMIF($M$7:$M$54,CONCATENATE("=",AC56),$N$7:$N$54)</f>
        <v>1</v>
      </c>
      <c r="AI56" s="3">
        <f>AD56*3+AE56</f>
        <v>9</v>
      </c>
      <c r="AJ56" s="3">
        <f>0.4+AG56+(AG56-AH56)*100+AD56*1000+AI56*10000</f>
        <v>93708.4</v>
      </c>
      <c r="AL56" s="1" t="str">
        <f>IF(SUM(AD56:AF59)=12,U50,"Group H Winner")</f>
        <v>Spain</v>
      </c>
    </row>
    <row r="57" spans="1:38" ht="12.75" customHeight="1">
      <c r="A57" s="34"/>
      <c r="B57" s="30" t="s">
        <v>66</v>
      </c>
      <c r="C57" s="31">
        <v>0.875</v>
      </c>
      <c r="D57" s="32" t="s">
        <v>99</v>
      </c>
      <c r="E57" s="31" t="s">
        <v>88</v>
      </c>
      <c r="F57" s="33" t="str">
        <f>AL21</f>
        <v>Argentina</v>
      </c>
      <c r="G57" s="33" t="str">
        <f>AL29</f>
        <v>Mexico</v>
      </c>
      <c r="H57" s="71">
        <v>2</v>
      </c>
      <c r="I57" s="71">
        <v>1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7"/>
      <c r="W57" s="47"/>
      <c r="X57" s="47"/>
      <c r="Y57" s="47"/>
      <c r="Z57" s="47"/>
      <c r="AA57" s="35"/>
      <c r="AB57" s="2">
        <f>IF(AJ57&gt;AJ56,1,0)+IF(AJ57&gt;AJ57,1,0)+IF(AJ57&gt;AJ58,1,0)+IF(AJ57&gt;AJ59,1,0)+1</f>
        <v>3</v>
      </c>
      <c r="AC57" s="1" t="s">
        <v>47</v>
      </c>
      <c r="AD57" s="3">
        <f>COUNTIF($S$7:$T$54,CONCATENATE(AC57,"_win"))</f>
        <v>2</v>
      </c>
      <c r="AE57" s="3">
        <f>COUNTIF($S$7:$T$54,CONCATENATE(AC57,"_draw"))</f>
        <v>0</v>
      </c>
      <c r="AF57" s="3">
        <f>COUNTIF($S$7:$T$54,CONCATENATE(AC57,"_lose"))</f>
        <v>1</v>
      </c>
      <c r="AG57" s="3">
        <f>SUMIF($O$7:$O$54,CONCATENATE("=",AC57),$P$7:$P$54)+SUMIF($K$7:$K$54,CONCATENATE("=",AC57),$L$7:$L$54)</f>
        <v>5</v>
      </c>
      <c r="AH57" s="3">
        <f>SUMIF($Q$7:$Q$54,CONCATENATE("=",AC57),$R$7:$R$54)+SUMIF($M$7:$M$54,CONCATENATE("=",AC57),$N$7:$N$54)</f>
        <v>4</v>
      </c>
      <c r="AI57" s="3">
        <f>AD57*3+AE57</f>
        <v>6</v>
      </c>
      <c r="AJ57" s="3">
        <f>0.3+AG57+(AG57-AH57)*100+AD57*1000+AI57*10000</f>
        <v>62105.3</v>
      </c>
      <c r="AL57" s="1" t="str">
        <f>IF(SUM(AD56:AF59)=12,U51,"Group H Second place")</f>
        <v>Ukraine</v>
      </c>
    </row>
    <row r="58" spans="1:36" ht="12.75">
      <c r="A58" s="34"/>
      <c r="B58" s="30" t="s">
        <v>67</v>
      </c>
      <c r="C58" s="31">
        <v>0.7083333333333334</v>
      </c>
      <c r="D58" s="32" t="s">
        <v>105</v>
      </c>
      <c r="E58" s="31" t="s">
        <v>88</v>
      </c>
      <c r="F58" s="33" t="str">
        <f>AL14</f>
        <v>England</v>
      </c>
      <c r="G58" s="33" t="str">
        <f>AL8</f>
        <v>Ecuador</v>
      </c>
      <c r="H58" s="71">
        <v>1</v>
      </c>
      <c r="I58" s="71">
        <v>0</v>
      </c>
      <c r="J58" s="38"/>
      <c r="K58" s="38" t="str">
        <f>IF(L58="","Second Round 1 Winner",L58)</f>
        <v>Germany</v>
      </c>
      <c r="L58" s="38" t="str">
        <f aca="true" t="shared" si="20" ref="L58:L65">IF(H56="","",IF(I56="","",IF(H56&gt;I56,F56,IF(H56&lt;I56,G56,""))))</f>
        <v>Germany</v>
      </c>
      <c r="M58" s="38"/>
      <c r="N58" s="38"/>
      <c r="O58" s="38"/>
      <c r="P58" s="38"/>
      <c r="Q58" s="38"/>
      <c r="R58" s="38"/>
      <c r="S58" s="38"/>
      <c r="T58" s="38"/>
      <c r="U58" s="38"/>
      <c r="V58" s="47"/>
      <c r="W58" s="47"/>
      <c r="X58" s="47"/>
      <c r="Y58" s="47"/>
      <c r="Z58" s="47"/>
      <c r="AA58" s="35"/>
      <c r="AB58" s="2">
        <f>IF(AJ58&gt;AJ56,1,0)+IF(AJ58&gt;AJ57,1,0)+IF(AJ58&gt;AJ58,1,0)+IF(AJ58&gt;AJ59,1,0)+1</f>
        <v>2</v>
      </c>
      <c r="AC58" s="1" t="s">
        <v>48</v>
      </c>
      <c r="AD58" s="3">
        <f>COUNTIF($S$7:$T$54,CONCATENATE(AC58,"_win"))</f>
        <v>0</v>
      </c>
      <c r="AE58" s="3">
        <f>COUNTIF($S$7:$T$54,CONCATENATE(AC58,"_draw"))</f>
        <v>1</v>
      </c>
      <c r="AF58" s="3">
        <f>COUNTIF($S$7:$T$54,CONCATENATE(AC58,"_lose"))</f>
        <v>2</v>
      </c>
      <c r="AG58" s="3">
        <f>SUMIF($O$7:$O$54,CONCATENATE("=",AC58),$P$7:$P$54)+SUMIF($K$7:$K$54,CONCATENATE("=",AC58),$L$7:$L$54)</f>
        <v>3</v>
      </c>
      <c r="AH58" s="3">
        <f>SUMIF($Q$7:$Q$54,CONCATENATE("=",AC58),$R$7:$R$54)+SUMIF($M$7:$M$54,CONCATENATE("=",AC58),$N$7:$N$54)</f>
        <v>6</v>
      </c>
      <c r="AI58" s="3">
        <f>AD58*3+AE58</f>
        <v>1</v>
      </c>
      <c r="AJ58" s="3">
        <f>0.2+AG58+(AG58-AH58)*100+AD58*1000+AI58*10000</f>
        <v>9703.2</v>
      </c>
    </row>
    <row r="59" spans="1:36" ht="12.75">
      <c r="A59" s="34"/>
      <c r="B59" s="30" t="s">
        <v>67</v>
      </c>
      <c r="C59" s="31">
        <v>0.875</v>
      </c>
      <c r="D59" s="32" t="s">
        <v>100</v>
      </c>
      <c r="E59" s="31" t="s">
        <v>88</v>
      </c>
      <c r="F59" s="33" t="str">
        <f>AL28</f>
        <v>Portugal</v>
      </c>
      <c r="G59" s="33" t="str">
        <f>AL22</f>
        <v>Netherlands</v>
      </c>
      <c r="H59" s="71">
        <v>1</v>
      </c>
      <c r="I59" s="71">
        <v>0</v>
      </c>
      <c r="J59" s="38"/>
      <c r="K59" s="38" t="str">
        <f>IF(L59="","Second Round 2 Winner",L59)</f>
        <v>Argentina</v>
      </c>
      <c r="L59" s="38" t="str">
        <f t="shared" si="20"/>
        <v>Argentina</v>
      </c>
      <c r="M59" s="38"/>
      <c r="N59" s="38"/>
      <c r="O59" s="38"/>
      <c r="P59" s="38"/>
      <c r="Q59" s="38"/>
      <c r="R59" s="38"/>
      <c r="S59" s="38"/>
      <c r="T59" s="38"/>
      <c r="U59" s="38"/>
      <c r="V59" s="47"/>
      <c r="W59" s="47"/>
      <c r="X59" s="47"/>
      <c r="Y59" s="47"/>
      <c r="Z59" s="47"/>
      <c r="AA59" s="35"/>
      <c r="AB59" s="2">
        <f>IF(AJ59&gt;AJ56,1,0)+IF(AJ59&gt;AJ57,1,0)+IF(AJ59&gt;AJ58,1,0)+IF(AJ59&gt;AJ59,1,0)+1</f>
        <v>1</v>
      </c>
      <c r="AC59" s="1" t="s">
        <v>49</v>
      </c>
      <c r="AD59" s="3">
        <f>COUNTIF($S$7:$T$54,CONCATENATE(AC59,"_win"))</f>
        <v>0</v>
      </c>
      <c r="AE59" s="3">
        <f>COUNTIF($S$7:$T$54,CONCATENATE(AC59,"_draw"))</f>
        <v>1</v>
      </c>
      <c r="AF59" s="3">
        <f>COUNTIF($S$7:$T$54,CONCATENATE(AC59,"_lose"))</f>
        <v>2</v>
      </c>
      <c r="AG59" s="3">
        <f>SUMIF($O$7:$O$54,CONCATENATE("=",AC59),$P$7:$P$54)+SUMIF($K$7:$K$54,CONCATENATE("=",AC59),$L$7:$L$54)</f>
        <v>2</v>
      </c>
      <c r="AH59" s="3">
        <f>SUMIF($Q$7:$Q$54,CONCATENATE("=",AC59),$R$7:$R$54)+SUMIF($M$7:$M$54,CONCATENATE("=",AC59),$N$7:$N$54)</f>
        <v>7</v>
      </c>
      <c r="AI59" s="3">
        <f>AD59*3+AE59</f>
        <v>1</v>
      </c>
      <c r="AJ59" s="3">
        <f>0.1+AG59+(AG59-AH59)*100+AD59*1000+AI59*10000</f>
        <v>9502.1</v>
      </c>
    </row>
    <row r="60" spans="1:27" ht="12.75">
      <c r="A60" s="34"/>
      <c r="B60" s="30" t="s">
        <v>68</v>
      </c>
      <c r="C60" s="31">
        <v>0.7083333333333334</v>
      </c>
      <c r="D60" s="32" t="s">
        <v>104</v>
      </c>
      <c r="E60" s="31" t="s">
        <v>88</v>
      </c>
      <c r="F60" s="33" t="str">
        <f>AL35</f>
        <v>Italy</v>
      </c>
      <c r="G60" s="33" t="str">
        <f>AL43</f>
        <v>Australia</v>
      </c>
      <c r="H60" s="71">
        <v>1</v>
      </c>
      <c r="I60" s="71">
        <v>0</v>
      </c>
      <c r="J60" s="38"/>
      <c r="K60" s="38" t="str">
        <f>IF(L60="","Second Round 3 Winner",L60)</f>
        <v>England</v>
      </c>
      <c r="L60" s="38" t="str">
        <f t="shared" si="20"/>
        <v>England</v>
      </c>
      <c r="M60" s="38"/>
      <c r="N60" s="38"/>
      <c r="O60" s="38"/>
      <c r="P60" s="38"/>
      <c r="Q60" s="38"/>
      <c r="R60" s="38"/>
      <c r="S60" s="38"/>
      <c r="T60" s="38"/>
      <c r="U60" s="38"/>
      <c r="V60" s="47"/>
      <c r="W60" s="47"/>
      <c r="X60" s="47"/>
      <c r="Y60" s="47"/>
      <c r="Z60" s="47"/>
      <c r="AA60" s="35"/>
    </row>
    <row r="61" spans="1:27" ht="12.75" customHeight="1">
      <c r="A61" s="34"/>
      <c r="B61" s="30" t="s">
        <v>68</v>
      </c>
      <c r="C61" s="31">
        <v>0.875</v>
      </c>
      <c r="D61" s="32" t="s">
        <v>101</v>
      </c>
      <c r="E61" s="31" t="s">
        <v>88</v>
      </c>
      <c r="F61" s="33" t="str">
        <f>AL49</f>
        <v>Switzerland</v>
      </c>
      <c r="G61" s="33" t="str">
        <f>AL57</f>
        <v>Ukraine</v>
      </c>
      <c r="H61" s="71">
        <v>0</v>
      </c>
      <c r="I61" s="71">
        <v>3</v>
      </c>
      <c r="J61" s="38"/>
      <c r="K61" s="38" t="str">
        <f>IF(L61="","Second Round 4 Winner",L61)</f>
        <v>Portugal</v>
      </c>
      <c r="L61" s="38" t="str">
        <f t="shared" si="20"/>
        <v>Portugal</v>
      </c>
      <c r="M61" s="38"/>
      <c r="N61" s="38"/>
      <c r="O61" s="38"/>
      <c r="P61" s="38"/>
      <c r="Q61" s="38"/>
      <c r="R61" s="38"/>
      <c r="S61" s="38"/>
      <c r="T61" s="38"/>
      <c r="U61" s="38"/>
      <c r="V61" s="47"/>
      <c r="W61" s="47"/>
      <c r="X61" s="47"/>
      <c r="Y61" s="47"/>
      <c r="Z61" s="47"/>
      <c r="AA61" s="35"/>
    </row>
    <row r="62" spans="1:27" ht="11.25" customHeight="1">
      <c r="A62" s="34"/>
      <c r="B62" s="30" t="s">
        <v>69</v>
      </c>
      <c r="C62" s="31">
        <v>0.7083333333333334</v>
      </c>
      <c r="D62" s="32" t="s">
        <v>97</v>
      </c>
      <c r="E62" s="31" t="s">
        <v>88</v>
      </c>
      <c r="F62" s="33" t="str">
        <f>AL42</f>
        <v>Brazil</v>
      </c>
      <c r="G62" s="33" t="str">
        <f>AL36</f>
        <v>Ghana</v>
      </c>
      <c r="H62" s="71">
        <v>3</v>
      </c>
      <c r="I62" s="71">
        <v>0</v>
      </c>
      <c r="J62" s="38"/>
      <c r="K62" s="38" t="str">
        <f>IF(L62="","Second Round 5 Winner",L62)</f>
        <v>Italy</v>
      </c>
      <c r="L62" s="38" t="str">
        <f t="shared" si="20"/>
        <v>Italy</v>
      </c>
      <c r="M62" s="38"/>
      <c r="N62" s="38"/>
      <c r="O62" s="38"/>
      <c r="P62" s="38"/>
      <c r="Q62" s="38"/>
      <c r="R62" s="38"/>
      <c r="S62" s="38"/>
      <c r="T62" s="38"/>
      <c r="U62" s="38"/>
      <c r="V62" s="47"/>
      <c r="W62" s="47"/>
      <c r="X62" s="47"/>
      <c r="Y62" s="47"/>
      <c r="Z62" s="47"/>
      <c r="AA62" s="35"/>
    </row>
    <row r="63" spans="1:27" ht="12.75">
      <c r="A63" s="34"/>
      <c r="B63" s="30" t="s">
        <v>69</v>
      </c>
      <c r="C63" s="31">
        <v>0.875</v>
      </c>
      <c r="D63" s="32" t="s">
        <v>102</v>
      </c>
      <c r="E63" s="31" t="s">
        <v>88</v>
      </c>
      <c r="F63" s="33" t="str">
        <f>AL56</f>
        <v>Spain</v>
      </c>
      <c r="G63" s="33" t="str">
        <f>AL50</f>
        <v>France</v>
      </c>
      <c r="H63" s="71">
        <v>1</v>
      </c>
      <c r="I63" s="71">
        <v>3</v>
      </c>
      <c r="J63" s="38"/>
      <c r="K63" s="38" t="str">
        <f>IF(L63="","Second Round 6 Winner",L63)</f>
        <v>Ukraine</v>
      </c>
      <c r="L63" s="38" t="str">
        <f t="shared" si="20"/>
        <v>Ukraine</v>
      </c>
      <c r="M63" s="38"/>
      <c r="N63" s="38"/>
      <c r="O63" s="38"/>
      <c r="P63" s="38"/>
      <c r="Q63" s="38"/>
      <c r="R63" s="38"/>
      <c r="S63" s="38"/>
      <c r="T63" s="38"/>
      <c r="U63" s="38"/>
      <c r="V63" s="47"/>
      <c r="W63" s="47"/>
      <c r="X63" s="47"/>
      <c r="Y63" s="47"/>
      <c r="Z63" s="47"/>
      <c r="AA63" s="35"/>
    </row>
    <row r="64" spans="1:27" ht="12.75">
      <c r="A64" s="34"/>
      <c r="B64" s="48"/>
      <c r="C64" s="49"/>
      <c r="D64" s="49"/>
      <c r="E64" s="49"/>
      <c r="F64" s="50"/>
      <c r="G64" s="50"/>
      <c r="H64" s="47"/>
      <c r="I64" s="47"/>
      <c r="J64" s="38"/>
      <c r="K64" s="38" t="str">
        <f>IF(L64="","Second Round 7 Winner",L64)</f>
        <v>Brazil</v>
      </c>
      <c r="L64" s="38" t="str">
        <f t="shared" si="20"/>
        <v>Brazil</v>
      </c>
      <c r="M64" s="38"/>
      <c r="N64" s="38"/>
      <c r="O64" s="38"/>
      <c r="P64" s="38"/>
      <c r="Q64" s="38"/>
      <c r="R64" s="38"/>
      <c r="S64" s="38"/>
      <c r="T64" s="38"/>
      <c r="U64" s="38"/>
      <c r="V64" s="47"/>
      <c r="W64" s="47"/>
      <c r="X64" s="47"/>
      <c r="Y64" s="47"/>
      <c r="Z64" s="47"/>
      <c r="AA64" s="35"/>
    </row>
    <row r="65" spans="1:27" ht="12.75">
      <c r="A65" s="34"/>
      <c r="B65" s="9" t="s">
        <v>76</v>
      </c>
      <c r="C65" s="10" t="s">
        <v>77</v>
      </c>
      <c r="D65" s="10" t="s">
        <v>91</v>
      </c>
      <c r="E65" s="10" t="s">
        <v>78</v>
      </c>
      <c r="F65" s="10" t="s">
        <v>92</v>
      </c>
      <c r="G65" s="10"/>
      <c r="H65" s="76" t="s">
        <v>93</v>
      </c>
      <c r="I65" s="77"/>
      <c r="J65" s="38"/>
      <c r="K65" s="38" t="str">
        <f>IF(L65="","Second Round 8 Winner",L65)</f>
        <v>France</v>
      </c>
      <c r="L65" s="38" t="str">
        <f t="shared" si="20"/>
        <v>France</v>
      </c>
      <c r="M65" s="38"/>
      <c r="N65" s="38"/>
      <c r="O65" s="38"/>
      <c r="P65" s="38"/>
      <c r="Q65" s="38"/>
      <c r="R65" s="38"/>
      <c r="S65" s="38"/>
      <c r="T65" s="38"/>
      <c r="U65" s="38"/>
      <c r="V65" s="47"/>
      <c r="W65" s="47"/>
      <c r="X65" s="47"/>
      <c r="Y65" s="47"/>
      <c r="Z65" s="47"/>
      <c r="AA65" s="35"/>
    </row>
    <row r="66" spans="1:27" ht="12.75">
      <c r="A66" s="34"/>
      <c r="B66" s="26" t="s">
        <v>70</v>
      </c>
      <c r="C66" s="27">
        <v>0.7083333333333334</v>
      </c>
      <c r="D66" s="28" t="s">
        <v>103</v>
      </c>
      <c r="E66" s="27" t="s">
        <v>84</v>
      </c>
      <c r="F66" s="29" t="str">
        <f>K58</f>
        <v>Germany</v>
      </c>
      <c r="G66" s="51" t="str">
        <f>K59</f>
        <v>Argentina</v>
      </c>
      <c r="H66" s="70">
        <v>4</v>
      </c>
      <c r="I66" s="70">
        <v>2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47"/>
      <c r="W66" s="47"/>
      <c r="X66" s="47"/>
      <c r="Y66" s="47"/>
      <c r="Z66" s="47"/>
      <c r="AA66" s="35"/>
    </row>
    <row r="67" spans="1:27" ht="12.75" customHeight="1">
      <c r="A67" s="34"/>
      <c r="B67" s="30" t="s">
        <v>70</v>
      </c>
      <c r="C67" s="31">
        <v>0.875</v>
      </c>
      <c r="D67" s="32" t="s">
        <v>98</v>
      </c>
      <c r="E67" s="31" t="s">
        <v>85</v>
      </c>
      <c r="F67" s="33" t="str">
        <f>K62</f>
        <v>Italy</v>
      </c>
      <c r="G67" s="52" t="str">
        <f>K63</f>
        <v>Ukraine</v>
      </c>
      <c r="H67" s="71">
        <v>3</v>
      </c>
      <c r="I67" s="71">
        <v>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7"/>
      <c r="W67" s="47"/>
      <c r="X67" s="47"/>
      <c r="Y67" s="47"/>
      <c r="Z67" s="47"/>
      <c r="AA67" s="35"/>
    </row>
    <row r="68" spans="1:27" ht="12.75" customHeight="1">
      <c r="A68" s="34"/>
      <c r="B68" s="30" t="s">
        <v>71</v>
      </c>
      <c r="C68" s="31">
        <v>0.7083333333333334</v>
      </c>
      <c r="D68" s="32" t="s">
        <v>95</v>
      </c>
      <c r="E68" s="31" t="s">
        <v>86</v>
      </c>
      <c r="F68" s="33" t="str">
        <f>K64</f>
        <v>Brazil</v>
      </c>
      <c r="G68" s="52" t="str">
        <f>K65</f>
        <v>France</v>
      </c>
      <c r="H68" s="71">
        <v>0</v>
      </c>
      <c r="I68" s="71">
        <v>1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47"/>
      <c r="W68" s="47"/>
      <c r="X68" s="47"/>
      <c r="Y68" s="47"/>
      <c r="Z68" s="47"/>
      <c r="AA68" s="35"/>
    </row>
    <row r="69" spans="1:27" ht="12.75">
      <c r="A69" s="34"/>
      <c r="B69" s="30" t="s">
        <v>71</v>
      </c>
      <c r="C69" s="31">
        <v>0.875</v>
      </c>
      <c r="D69" s="32" t="s">
        <v>96</v>
      </c>
      <c r="E69" s="31" t="s">
        <v>87</v>
      </c>
      <c r="F69" s="33" t="str">
        <f>K60</f>
        <v>England</v>
      </c>
      <c r="G69" s="52" t="str">
        <f>K61</f>
        <v>Portugal</v>
      </c>
      <c r="H69" s="71">
        <v>1</v>
      </c>
      <c r="I69" s="71">
        <v>3</v>
      </c>
      <c r="J69" s="38"/>
      <c r="K69" s="38" t="str">
        <f>IF(L69="","Quarter Final 1 Winner",L69)</f>
        <v>Germany</v>
      </c>
      <c r="L69" s="38" t="str">
        <f>IF(H66="","",IF(I66="","",IF(H66&gt;I66,F66,IF(H66&lt;I66,G66,""))))</f>
        <v>Germany</v>
      </c>
      <c r="M69" s="38"/>
      <c r="N69" s="38"/>
      <c r="O69" s="38"/>
      <c r="P69" s="38"/>
      <c r="Q69" s="38"/>
      <c r="R69" s="38"/>
      <c r="S69" s="38"/>
      <c r="T69" s="38"/>
      <c r="U69" s="38"/>
      <c r="V69" s="47"/>
      <c r="W69" s="47"/>
      <c r="X69" s="47"/>
      <c r="Y69" s="47"/>
      <c r="Z69" s="47"/>
      <c r="AA69" s="35"/>
    </row>
    <row r="70" spans="1:27" ht="12.75">
      <c r="A70" s="34"/>
      <c r="B70" s="48"/>
      <c r="C70" s="49"/>
      <c r="D70" s="49"/>
      <c r="E70" s="49"/>
      <c r="F70" s="50"/>
      <c r="G70" s="50"/>
      <c r="H70" s="47"/>
      <c r="I70" s="47"/>
      <c r="J70" s="38"/>
      <c r="K70" s="38" t="str">
        <f>IF(L70="","Quarter Final 2 Winner",L70)</f>
        <v>Italy</v>
      </c>
      <c r="L70" s="38" t="str">
        <f>IF(H67="","",IF(I67="","",IF(H67&gt;I67,F67,IF(H67&lt;I67,G67,""))))</f>
        <v>Italy</v>
      </c>
      <c r="M70" s="38"/>
      <c r="N70" s="38"/>
      <c r="O70" s="38"/>
      <c r="P70" s="38"/>
      <c r="Q70" s="38"/>
      <c r="R70" s="38"/>
      <c r="S70" s="38"/>
      <c r="T70" s="38"/>
      <c r="U70" s="38"/>
      <c r="V70" s="47"/>
      <c r="W70" s="47"/>
      <c r="X70" s="47"/>
      <c r="Y70" s="47"/>
      <c r="Z70" s="47"/>
      <c r="AA70" s="35"/>
    </row>
    <row r="71" spans="1:27" ht="12.75">
      <c r="A71" s="34"/>
      <c r="B71" s="9" t="s">
        <v>76</v>
      </c>
      <c r="C71" s="10" t="s">
        <v>77</v>
      </c>
      <c r="D71" s="10" t="s">
        <v>91</v>
      </c>
      <c r="E71" s="10" t="s">
        <v>78</v>
      </c>
      <c r="F71" s="10" t="s">
        <v>92</v>
      </c>
      <c r="G71" s="10"/>
      <c r="H71" s="76"/>
      <c r="I71" s="77"/>
      <c r="J71" s="38"/>
      <c r="K71" s="38" t="str">
        <f>IF(L71="","Quarter Final 3 Winner",L71)</f>
        <v>France</v>
      </c>
      <c r="L71" s="38" t="str">
        <f>IF(H68="","",IF(I68="","",IF(H68&gt;I68,F68,IF(H68&lt;I68,G68,""))))</f>
        <v>France</v>
      </c>
      <c r="M71" s="38"/>
      <c r="N71" s="38"/>
      <c r="O71" s="38"/>
      <c r="P71" s="38"/>
      <c r="Q71" s="38"/>
      <c r="R71" s="38"/>
      <c r="S71" s="38"/>
      <c r="T71" s="38"/>
      <c r="U71" s="38"/>
      <c r="V71" s="47"/>
      <c r="W71" s="47"/>
      <c r="X71" s="47"/>
      <c r="Y71" s="47"/>
      <c r="Z71" s="47"/>
      <c r="AA71" s="35"/>
    </row>
    <row r="72" spans="1:27" ht="12.75" customHeight="1">
      <c r="A72" s="34"/>
      <c r="B72" s="26" t="s">
        <v>72</v>
      </c>
      <c r="C72" s="27">
        <v>0.875</v>
      </c>
      <c r="D72" s="28" t="s">
        <v>97</v>
      </c>
      <c r="E72" s="27" t="s">
        <v>89</v>
      </c>
      <c r="F72" s="29" t="str">
        <f>K69</f>
        <v>Germany</v>
      </c>
      <c r="G72" s="29" t="str">
        <f>K70</f>
        <v>Italy</v>
      </c>
      <c r="H72" s="70">
        <v>0</v>
      </c>
      <c r="I72" s="70">
        <v>2</v>
      </c>
      <c r="J72" s="38"/>
      <c r="K72" s="38" t="str">
        <f>IF(L72="","Quarter Final 4 Winner",L72)</f>
        <v>Portugal</v>
      </c>
      <c r="L72" s="38" t="str">
        <f>IF(H69="","",IF(I69="","",IF(H69&gt;I69,F69,IF(H69&lt;I69,G69,""))))</f>
        <v>Portugal</v>
      </c>
      <c r="M72" s="38"/>
      <c r="N72" s="38"/>
      <c r="O72" s="38"/>
      <c r="P72" s="38"/>
      <c r="Q72" s="38"/>
      <c r="R72" s="38"/>
      <c r="S72" s="38"/>
      <c r="T72" s="38"/>
      <c r="U72" s="38"/>
      <c r="V72" s="47"/>
      <c r="W72" s="47"/>
      <c r="X72" s="47"/>
      <c r="Y72" s="47"/>
      <c r="Z72" s="47"/>
      <c r="AA72" s="35"/>
    </row>
    <row r="73" spans="1:27" ht="11.25" customHeight="1">
      <c r="A73" s="34"/>
      <c r="B73" s="30" t="s">
        <v>73</v>
      </c>
      <c r="C73" s="31">
        <v>0.875</v>
      </c>
      <c r="D73" s="32" t="s">
        <v>94</v>
      </c>
      <c r="E73" s="31" t="s">
        <v>89</v>
      </c>
      <c r="F73" s="33" t="str">
        <f>K72</f>
        <v>Portugal</v>
      </c>
      <c r="G73" s="33" t="str">
        <f>K71</f>
        <v>France</v>
      </c>
      <c r="H73" s="71">
        <v>0</v>
      </c>
      <c r="I73" s="71">
        <v>1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47"/>
      <c r="W73" s="47"/>
      <c r="X73" s="47"/>
      <c r="Y73" s="47"/>
      <c r="Z73" s="47"/>
      <c r="AA73" s="35"/>
    </row>
    <row r="74" spans="1:27" ht="12.75" customHeight="1">
      <c r="A74" s="34"/>
      <c r="B74" s="30" t="s">
        <v>74</v>
      </c>
      <c r="C74" s="31">
        <v>0.875</v>
      </c>
      <c r="D74" s="32" t="s">
        <v>105</v>
      </c>
      <c r="E74" s="31" t="s">
        <v>106</v>
      </c>
      <c r="F74" s="33" t="str">
        <f>M76</f>
        <v>Germany</v>
      </c>
      <c r="G74" s="33" t="str">
        <f>M77</f>
        <v>Portugal</v>
      </c>
      <c r="H74" s="71">
        <v>3</v>
      </c>
      <c r="I74" s="71">
        <v>1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47"/>
      <c r="W74" s="47"/>
      <c r="X74" s="47"/>
      <c r="Y74" s="47"/>
      <c r="Z74" s="47"/>
      <c r="AA74" s="35"/>
    </row>
    <row r="75" spans="1:27" ht="12.75" customHeight="1">
      <c r="A75" s="34"/>
      <c r="B75" s="30" t="s">
        <v>75</v>
      </c>
      <c r="C75" s="31">
        <v>0.8333333333333334</v>
      </c>
      <c r="D75" s="32" t="s">
        <v>103</v>
      </c>
      <c r="E75" s="31" t="s">
        <v>90</v>
      </c>
      <c r="F75" s="33" t="str">
        <f>K76</f>
        <v>Italy</v>
      </c>
      <c r="G75" s="33" t="str">
        <f>K77</f>
        <v>France</v>
      </c>
      <c r="H75" s="71">
        <v>5</v>
      </c>
      <c r="I75" s="71">
        <v>3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7"/>
      <c r="W75" s="47"/>
      <c r="X75" s="47"/>
      <c r="Y75" s="47"/>
      <c r="Z75" s="47"/>
      <c r="AA75" s="35"/>
    </row>
    <row r="76" spans="1:27" ht="12.75">
      <c r="A76" s="34"/>
      <c r="B76" s="53"/>
      <c r="C76" s="54"/>
      <c r="D76" s="54"/>
      <c r="E76" s="54"/>
      <c r="F76" s="55"/>
      <c r="G76" s="55"/>
      <c r="H76" s="56"/>
      <c r="I76" s="56"/>
      <c r="J76" s="38"/>
      <c r="K76" s="38" t="str">
        <f>IF(L76="","Semi Final 1 Winner",L76)</f>
        <v>Italy</v>
      </c>
      <c r="L76" s="38" t="str">
        <f>IF(H72="","",IF(I72="","",IF(H72&gt;I72,F72,IF(H72&lt;I72,G72,""))))</f>
        <v>Italy</v>
      </c>
      <c r="M76" s="38" t="str">
        <f>IF(N76="","Semi Final 1 Loser",N76)</f>
        <v>Germany</v>
      </c>
      <c r="N76" s="38" t="str">
        <f>IF(H72="","",IF(I72="","",IF(H72&gt;I72,G72,IF(H72&lt;I72,F72,""))))</f>
        <v>Germany</v>
      </c>
      <c r="O76" s="38"/>
      <c r="P76" s="38"/>
      <c r="Q76" s="38"/>
      <c r="R76" s="38"/>
      <c r="S76" s="38"/>
      <c r="T76" s="38"/>
      <c r="U76" s="38"/>
      <c r="V76" s="47"/>
      <c r="W76" s="47"/>
      <c r="X76" s="47"/>
      <c r="Y76" s="47"/>
      <c r="Z76" s="47"/>
      <c r="AA76" s="35"/>
    </row>
    <row r="77" spans="1:27" ht="12.75">
      <c r="A77" s="34"/>
      <c r="B77" s="57"/>
      <c r="C77" s="58"/>
      <c r="D77" s="58"/>
      <c r="E77" s="58"/>
      <c r="F77" s="59"/>
      <c r="G77" s="59"/>
      <c r="H77" s="56"/>
      <c r="I77" s="56"/>
      <c r="J77" s="38"/>
      <c r="K77" s="38" t="str">
        <f>IF(L77="","Semi Final 2 Winner",L77)</f>
        <v>France</v>
      </c>
      <c r="L77" s="38" t="str">
        <f>IF(H73="","",IF(I73="","",IF(H73&gt;I73,F73,IF(H73&lt;I73,G73,""))))</f>
        <v>France</v>
      </c>
      <c r="M77" s="38" t="str">
        <f>IF(N77="","Semi Final 2 Loser",N77)</f>
        <v>Portugal</v>
      </c>
      <c r="N77" s="38" t="str">
        <f>IF(H73="","",IF(I73="","",IF(H73&gt;I73,G73,IF(H73&lt;I73,F73,""))))</f>
        <v>Portugal</v>
      </c>
      <c r="O77" s="38"/>
      <c r="P77" s="38"/>
      <c r="Q77" s="38"/>
      <c r="R77" s="38"/>
      <c r="S77" s="38"/>
      <c r="T77" s="38"/>
      <c r="U77" s="38"/>
      <c r="V77" s="47"/>
      <c r="W77" s="47"/>
      <c r="X77" s="47"/>
      <c r="Y77" s="47"/>
      <c r="Z77" s="47"/>
      <c r="AA77" s="35"/>
    </row>
    <row r="78" spans="1:27" ht="18">
      <c r="A78" s="34"/>
      <c r="B78" s="60" t="s">
        <v>13</v>
      </c>
      <c r="C78" s="61"/>
      <c r="D78" s="61"/>
      <c r="E78" s="61"/>
      <c r="F78" s="73" t="str">
        <f>K85</f>
        <v>Italy</v>
      </c>
      <c r="G78" s="74"/>
      <c r="H78" s="74"/>
      <c r="I78" s="75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47"/>
      <c r="W78" s="62" t="s">
        <v>111</v>
      </c>
      <c r="X78" s="47"/>
      <c r="Y78" s="47"/>
      <c r="Z78" s="47"/>
      <c r="AA78" s="35"/>
    </row>
    <row r="79" spans="1:27" ht="12.75" customHeight="1">
      <c r="A79" s="34"/>
      <c r="B79" s="63"/>
      <c r="C79" s="64"/>
      <c r="D79" s="64"/>
      <c r="E79" s="64"/>
      <c r="F79" s="65"/>
      <c r="G79" s="65"/>
      <c r="H79" s="66"/>
      <c r="I79" s="6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5"/>
      <c r="V79" s="67"/>
      <c r="W79" s="67"/>
      <c r="X79" s="67"/>
      <c r="Y79" s="67"/>
      <c r="Z79" s="67"/>
      <c r="AA79" s="35"/>
    </row>
    <row r="80" spans="1:27" ht="11.25" customHeight="1">
      <c r="A80" s="34"/>
      <c r="B80" s="63"/>
      <c r="C80" s="64"/>
      <c r="D80" s="64"/>
      <c r="E80" s="64"/>
      <c r="F80" s="65"/>
      <c r="G80" s="65"/>
      <c r="H80" s="66"/>
      <c r="I80" s="66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67"/>
      <c r="W80" s="67"/>
      <c r="X80" s="67"/>
      <c r="Y80" s="67"/>
      <c r="Z80" s="67"/>
      <c r="AA80" s="35"/>
    </row>
    <row r="81" spans="10:27" ht="12.75">
      <c r="J81" s="8"/>
      <c r="K81" s="8" t="str">
        <f>IF(L81="","Third Place",L81)</f>
        <v>Germany</v>
      </c>
      <c r="L81" s="8" t="str">
        <f>IF(H74="","",IF(I74="","",IF(H74&gt;I74,F74,IF(H74&lt;I74,G74,""))))</f>
        <v>Germany</v>
      </c>
      <c r="M81" s="8"/>
      <c r="N81" s="8"/>
      <c r="O81" s="8"/>
      <c r="P81" s="8"/>
      <c r="Q81" s="8"/>
      <c r="R81" s="8"/>
      <c r="S81" s="8"/>
      <c r="T81" s="8"/>
      <c r="U81" s="8"/>
      <c r="V81" s="7"/>
      <c r="X81" s="7"/>
      <c r="Y81" s="7"/>
      <c r="Z81" s="7"/>
      <c r="AA81" s="8"/>
    </row>
    <row r="84" ht="12.75" customHeight="1"/>
    <row r="85" spans="11:12" ht="13.5" customHeight="1">
      <c r="K85" s="1" t="str">
        <f>IF(L85="","",L85)</f>
        <v>Italy</v>
      </c>
      <c r="L85" s="1" t="str">
        <f>IF(H75="","",IF(I75="","",IF(H75&gt;I75,F75,IF(H75&lt;I75,G75,""))))</f>
        <v>Italy</v>
      </c>
    </row>
    <row r="87" ht="21" customHeight="1"/>
  </sheetData>
  <sheetProtection password="CD3E" sheet="1" objects="1" scenarios="1"/>
  <mergeCells count="7">
    <mergeCell ref="B1:Z1"/>
    <mergeCell ref="F78:I78"/>
    <mergeCell ref="H5:I5"/>
    <mergeCell ref="H55:I55"/>
    <mergeCell ref="H65:I65"/>
    <mergeCell ref="H71:I71"/>
    <mergeCell ref="B2:Z2"/>
  </mergeCells>
  <conditionalFormatting sqref="F56:G63">
    <cfRule type="cellIs" priority="1" dxfId="0" operator="equal" stopIfTrue="1">
      <formula>$K58</formula>
    </cfRule>
  </conditionalFormatting>
  <conditionalFormatting sqref="F74:G74">
    <cfRule type="cellIs" priority="2" dxfId="0" operator="equal" stopIfTrue="1">
      <formula>$K81</formula>
    </cfRule>
  </conditionalFormatting>
  <conditionalFormatting sqref="G18:G53 G7:G15">
    <cfRule type="expression" priority="3" dxfId="0" stopIfTrue="1">
      <formula>IF($T8=CONCATENATE($G7,"_win"),1,0)</formula>
    </cfRule>
  </conditionalFormatting>
  <conditionalFormatting sqref="G17">
    <cfRule type="expression" priority="4" dxfId="0" stopIfTrue="1">
      <formula>IF($T17=CONCATENATE($G17,"_win"),1,0)</formula>
    </cfRule>
  </conditionalFormatting>
  <conditionalFormatting sqref="G16">
    <cfRule type="expression" priority="5" dxfId="0" stopIfTrue="1">
      <formula>IF($T18=CONCATENATE($G16,"_win"),1,0)</formula>
    </cfRule>
  </conditionalFormatting>
  <conditionalFormatting sqref="U9:Z9">
    <cfRule type="expression" priority="6" dxfId="1" stopIfTrue="1">
      <formula>IF($U9=$AL8,1,0)</formula>
    </cfRule>
  </conditionalFormatting>
  <conditionalFormatting sqref="U8:Z8">
    <cfRule type="expression" priority="7" dxfId="2" stopIfTrue="1">
      <formula>IF($U8=$AL7,1,0)</formula>
    </cfRule>
  </conditionalFormatting>
  <conditionalFormatting sqref="U15:Z15">
    <cfRule type="expression" priority="8" dxfId="1" stopIfTrue="1">
      <formula>IF($U15=$AL15,1,0)</formula>
    </cfRule>
  </conditionalFormatting>
  <conditionalFormatting sqref="U14:Z14">
    <cfRule type="expression" priority="9" dxfId="2" stopIfTrue="1">
      <formula>IF($U14=$AL14,1,0)</formula>
    </cfRule>
  </conditionalFormatting>
  <conditionalFormatting sqref="U21:Z21">
    <cfRule type="expression" priority="10" dxfId="1" stopIfTrue="1">
      <formula>IF($U21=$AL22,1,0)</formula>
    </cfRule>
  </conditionalFormatting>
  <conditionalFormatting sqref="U20:Z20">
    <cfRule type="expression" priority="11" dxfId="2" stopIfTrue="1">
      <formula>IF($U20=$AL21,1,0)</formula>
    </cfRule>
  </conditionalFormatting>
  <conditionalFormatting sqref="U26:Z26">
    <cfRule type="expression" priority="12" dxfId="2" stopIfTrue="1">
      <formula>IF($U26=$AL28,1,0)</formula>
    </cfRule>
  </conditionalFormatting>
  <conditionalFormatting sqref="U27:Z27">
    <cfRule type="expression" priority="13" dxfId="1" stopIfTrue="1">
      <formula>IF($U27=$AL29,1,0)</formula>
    </cfRule>
  </conditionalFormatting>
  <conditionalFormatting sqref="U33:Z33">
    <cfRule type="expression" priority="14" dxfId="1" stopIfTrue="1">
      <formula>IF($U33=$AL36,1,0)</formula>
    </cfRule>
  </conditionalFormatting>
  <conditionalFormatting sqref="U32:Z32">
    <cfRule type="expression" priority="15" dxfId="2" stopIfTrue="1">
      <formula>IF($U32=$AL35,1,0)</formula>
    </cfRule>
  </conditionalFormatting>
  <conditionalFormatting sqref="U39:Z39">
    <cfRule type="expression" priority="16" dxfId="1" stopIfTrue="1">
      <formula>IF($U39=$AL43,1,0)</formula>
    </cfRule>
  </conditionalFormatting>
  <conditionalFormatting sqref="U38:Z38">
    <cfRule type="expression" priority="17" dxfId="2" stopIfTrue="1">
      <formula>IF($U38=$AL42,1,0)</formula>
    </cfRule>
  </conditionalFormatting>
  <conditionalFormatting sqref="U45:Z45">
    <cfRule type="expression" priority="18" dxfId="1" stopIfTrue="1">
      <formula>IF($U45=$AL50,1,0)</formula>
    </cfRule>
  </conditionalFormatting>
  <conditionalFormatting sqref="U51:Z51">
    <cfRule type="expression" priority="19" dxfId="1" stopIfTrue="1">
      <formula>IF($U51=$AL57,1,0)</formula>
    </cfRule>
  </conditionalFormatting>
  <conditionalFormatting sqref="U44:Z44">
    <cfRule type="expression" priority="20" dxfId="2" stopIfTrue="1">
      <formula>IF($U44=$AL49,1,0)</formula>
    </cfRule>
  </conditionalFormatting>
  <conditionalFormatting sqref="U50:Z50">
    <cfRule type="expression" priority="21" dxfId="2" stopIfTrue="1">
      <formula>IF($U50=$AL56,1,0)</formula>
    </cfRule>
  </conditionalFormatting>
  <conditionalFormatting sqref="F66:G69">
    <cfRule type="cellIs" priority="22" dxfId="0" operator="equal" stopIfTrue="1">
      <formula>$K69</formula>
    </cfRule>
  </conditionalFormatting>
  <conditionalFormatting sqref="F72:G73">
    <cfRule type="cellIs" priority="23" dxfId="0" operator="equal" stopIfTrue="1">
      <formula>$K76</formula>
    </cfRule>
  </conditionalFormatting>
  <conditionalFormatting sqref="F78">
    <cfRule type="cellIs" priority="24" dxfId="3" operator="notEqual" stopIfTrue="1">
      <formula>"Final Winner"</formula>
    </cfRule>
  </conditionalFormatting>
  <conditionalFormatting sqref="F75:G76">
    <cfRule type="cellIs" priority="25" dxfId="0" operator="equal" stopIfTrue="1">
      <formula>$K$85</formula>
    </cfRule>
  </conditionalFormatting>
  <conditionalFormatting sqref="G6">
    <cfRule type="expression" priority="26" dxfId="4" stopIfTrue="1">
      <formula>IF($T7=CONCATENATE($G6,"_win"),1,0)</formula>
    </cfRule>
  </conditionalFormatting>
  <conditionalFormatting sqref="F15 F6:F13 F18:F53">
    <cfRule type="expression" priority="27" dxfId="5" stopIfTrue="1">
      <formula>IF($S7=CONCATENATE($F6,"_win"),1,0)</formula>
    </cfRule>
  </conditionalFormatting>
  <conditionalFormatting sqref="F14">
    <cfRule type="expression" priority="28" dxfId="5" stopIfTrue="1">
      <formula>IF($S15=CONCATENATE($F14,"_win"),1,0)</formula>
    </cfRule>
  </conditionalFormatting>
  <conditionalFormatting sqref="F16">
    <cfRule type="expression" priority="29" dxfId="5" stopIfTrue="1">
      <formula>IF($S18=CONCATENATE($F16,"_win"),1,0)</formula>
    </cfRule>
  </conditionalFormatting>
  <conditionalFormatting sqref="F17">
    <cfRule type="expression" priority="30" dxfId="5" stopIfTrue="1">
      <formula>IF($S17=CONCATENATE($F17,"_win"),1,0)</formula>
    </cfRule>
  </conditionalFormatting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</dc:creator>
  <cp:keywords/>
  <dc:description/>
  <cp:lastModifiedBy>FUNA</cp:lastModifiedBy>
  <cp:lastPrinted>2006-04-24T07:15:14Z</cp:lastPrinted>
  <dcterms:created xsi:type="dcterms:W3CDTF">2005-12-06T22:26:17Z</dcterms:created>
  <dcterms:modified xsi:type="dcterms:W3CDTF">2006-07-18T16:48:58Z</dcterms:modified>
  <cp:category/>
  <cp:version/>
  <cp:contentType/>
  <cp:contentStatus/>
</cp:coreProperties>
</file>